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0" windowWidth="28800" windowHeight="12825"/>
  </bookViews>
  <sheets>
    <sheet name="2018г.1 кв." sheetId="5" r:id="rId1"/>
  </sheets>
  <definedNames>
    <definedName name="_xlnm.Print_Area" localSheetId="0">'2018г.1 кв.'!$A$1:$Q$69</definedName>
  </definedNames>
  <calcPr calcId="145621"/>
</workbook>
</file>

<file path=xl/calcChain.xml><?xml version="1.0" encoding="utf-8"?>
<calcChain xmlns="http://schemas.openxmlformats.org/spreadsheetml/2006/main">
  <c r="K66" i="5" l="1"/>
  <c r="K65" i="5"/>
  <c r="K63" i="5"/>
  <c r="K64" i="5"/>
  <c r="K62" i="5"/>
  <c r="T68" i="5"/>
  <c r="E61" i="5"/>
  <c r="E58" i="5"/>
  <c r="E57" i="5"/>
  <c r="E56" i="5"/>
  <c r="H50" i="5"/>
  <c r="H52" i="5"/>
  <c r="H59" i="5"/>
  <c r="H60" i="5"/>
  <c r="E55" i="5"/>
  <c r="E54" i="5"/>
  <c r="E53" i="5"/>
  <c r="F53" i="5" s="1"/>
  <c r="E51" i="5"/>
  <c r="E49" i="5"/>
  <c r="V64" i="5" l="1"/>
  <c r="K45" i="5"/>
  <c r="K43" i="5"/>
  <c r="K44" i="5"/>
  <c r="K42" i="5"/>
  <c r="K41" i="5"/>
  <c r="E33" i="5"/>
  <c r="E32" i="5"/>
  <c r="E30" i="5"/>
  <c r="H29" i="5"/>
  <c r="E28" i="5"/>
  <c r="H31" i="5"/>
  <c r="E35" i="5"/>
  <c r="E36" i="5"/>
  <c r="E37" i="5"/>
  <c r="H39" i="5"/>
  <c r="H38" i="5"/>
  <c r="E40" i="5"/>
  <c r="E34" i="5"/>
  <c r="T45" i="5"/>
  <c r="K24" i="5" l="1"/>
  <c r="K22" i="5"/>
  <c r="K23" i="5"/>
  <c r="K21" i="5"/>
  <c r="K20" i="5"/>
  <c r="T24" i="5"/>
  <c r="E16" i="5"/>
  <c r="E19" i="5"/>
  <c r="E12" i="5"/>
  <c r="E11" i="5"/>
  <c r="E14" i="5"/>
  <c r="E15" i="5"/>
  <c r="E9" i="5"/>
  <c r="E7" i="5"/>
  <c r="E13" i="5"/>
  <c r="H8" i="5"/>
  <c r="H10" i="5"/>
  <c r="H18" i="5"/>
  <c r="H17" i="5"/>
  <c r="V22" i="5" l="1"/>
  <c r="T23" i="5" s="1"/>
  <c r="O67" i="5" l="1"/>
  <c r="O46" i="5"/>
  <c r="V60" i="5" l="1"/>
  <c r="V59" i="5"/>
  <c r="T60" i="5" l="1"/>
  <c r="I52" i="5"/>
  <c r="F51" i="5"/>
  <c r="T65" i="5"/>
  <c r="L66" i="5"/>
  <c r="L65" i="5"/>
  <c r="L64" i="5"/>
  <c r="L63" i="5"/>
  <c r="L62" i="5"/>
  <c r="F61" i="5"/>
  <c r="I60" i="5"/>
  <c r="I59" i="5"/>
  <c r="F58" i="5"/>
  <c r="F57" i="5"/>
  <c r="F56" i="5"/>
  <c r="F55" i="5"/>
  <c r="F54" i="5"/>
  <c r="F49" i="5"/>
  <c r="F67" i="5" l="1"/>
  <c r="L67" i="5"/>
  <c r="I50" i="5"/>
  <c r="I67" i="5" s="1"/>
  <c r="V43" i="5"/>
  <c r="T44" i="5" s="1"/>
  <c r="V39" i="5" l="1"/>
  <c r="V38" i="5"/>
  <c r="T39" i="5" l="1"/>
  <c r="L45" i="5" l="1"/>
  <c r="L44" i="5"/>
  <c r="L43" i="5"/>
  <c r="L42" i="5"/>
  <c r="L41" i="5"/>
  <c r="F40" i="5"/>
  <c r="I39" i="5"/>
  <c r="I38" i="5"/>
  <c r="F37" i="5"/>
  <c r="F36" i="5"/>
  <c r="F35" i="5"/>
  <c r="F34" i="5"/>
  <c r="F33" i="5"/>
  <c r="F32" i="5"/>
  <c r="I31" i="5"/>
  <c r="F30" i="5"/>
  <c r="I29" i="5"/>
  <c r="F28" i="5"/>
  <c r="I46" i="5" l="1"/>
  <c r="L46" i="5"/>
  <c r="F46" i="5"/>
  <c r="L20" i="5"/>
  <c r="L24" i="5"/>
  <c r="L22" i="5"/>
  <c r="L21" i="5"/>
  <c r="L23" i="5"/>
  <c r="L25" i="5" l="1"/>
  <c r="F19" i="5"/>
  <c r="I18" i="5"/>
  <c r="I17" i="5"/>
  <c r="F16" i="5"/>
  <c r="F15" i="5"/>
  <c r="F14" i="5"/>
  <c r="F13" i="5"/>
  <c r="F12" i="5"/>
  <c r="F11" i="5"/>
  <c r="I10" i="5"/>
  <c r="F9" i="5"/>
  <c r="F7" i="5" l="1"/>
  <c r="F25" i="5" s="1"/>
  <c r="V18" i="5"/>
  <c r="V17" i="5"/>
  <c r="I8" i="5"/>
  <c r="I25" i="5" s="1"/>
  <c r="T18" i="5" l="1"/>
</calcChain>
</file>

<file path=xl/sharedStrings.xml><?xml version="1.0" encoding="utf-8"?>
<sst xmlns="http://schemas.openxmlformats.org/spreadsheetml/2006/main" count="163" uniqueCount="65">
  <si>
    <t>1</t>
  </si>
  <si>
    <t>2</t>
  </si>
  <si>
    <t>3</t>
  </si>
  <si>
    <t>4</t>
  </si>
  <si>
    <t>5</t>
  </si>
  <si>
    <t>6</t>
  </si>
  <si>
    <t>7</t>
  </si>
  <si>
    <t>8</t>
  </si>
  <si>
    <t>9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</si>
  <si>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</si>
  <si>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</si>
  <si>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</si>
  <si>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</si>
  <si>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</si>
  <si>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</si>
  <si>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</si>
  <si>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Наличие возможности ТП</t>
  </si>
  <si>
    <t>Резерв мощности для ТП, кВт</t>
  </si>
  <si>
    <t>ВН</t>
  </si>
  <si>
    <t>СН 1</t>
  </si>
  <si>
    <t>СН 11</t>
  </si>
  <si>
    <t>НН</t>
  </si>
  <si>
    <t>ПС ГТП-2</t>
  </si>
  <si>
    <t>ПС Н-2</t>
  </si>
  <si>
    <t>ПС ГТП-3</t>
  </si>
  <si>
    <t>ПС ГТП-4</t>
  </si>
  <si>
    <t>ПС-20</t>
  </si>
  <si>
    <t>ПС-32</t>
  </si>
  <si>
    <t>Н-4/КРУН-1,-2</t>
  </si>
  <si>
    <t>Г-4/ЗРУ НС-5</t>
  </si>
  <si>
    <t>Г-2/ЗРУ НС-6</t>
  </si>
  <si>
    <t>Н-8/РП-022</t>
  </si>
  <si>
    <t>только по согласованю с собственником ТП</t>
  </si>
  <si>
    <t>январь</t>
  </si>
  <si>
    <t>РП-04 6/0,4 кВ</t>
  </si>
  <si>
    <t>ТП-0380 6/0,4 кВ</t>
  </si>
  <si>
    <t>БКТП-0381 6/0,4 кВ</t>
  </si>
  <si>
    <t xml:space="preserve"> РП-7(ВЛ-6кв  до ПС НС-4  «Водоподъем № 4»)</t>
  </si>
  <si>
    <t>ТП-0122 6/0,4 кВ</t>
  </si>
  <si>
    <t>только после реконструкции ТП</t>
  </si>
  <si>
    <t>только после реконструкции</t>
  </si>
  <si>
    <t>февраль</t>
  </si>
  <si>
    <t>СН-1 =</t>
  </si>
  <si>
    <t>Рфакт=</t>
  </si>
  <si>
    <t>ВН=</t>
  </si>
  <si>
    <t>Рзаявл.=</t>
  </si>
  <si>
    <t>СН-2 =</t>
  </si>
  <si>
    <t>МРСК Рприс.=181000кВт; Рмакс.=123193,48кВт                                          ДЭ Рприс.=2880кт; Рмакс.=4625,23кВт</t>
  </si>
  <si>
    <t>ПС"Гундоровская"                         (НС-3,-2)</t>
  </si>
  <si>
    <t>ПС"Чеботовская"                              (НС-1)</t>
  </si>
  <si>
    <t>Зерновая/ТП                                                  НС-4 Зерноград</t>
  </si>
  <si>
    <t>ПС"Гундоровская"               (НС-3,-2)</t>
  </si>
  <si>
    <t>ПС"Чеботовская"                        ( НС-1)</t>
  </si>
  <si>
    <t>Зерновая/ТП                                 НС-4 Зерноград</t>
  </si>
  <si>
    <t>ПС"Гундоровская"                       ( НС-3,-2)</t>
  </si>
  <si>
    <t>ПС"Чеботовская"                          ( НС-1)</t>
  </si>
  <si>
    <t>Зерновая/ТП                                  НС-4 Зерноград</t>
  </si>
  <si>
    <t xml:space="preserve">Итого </t>
  </si>
  <si>
    <t>о величине свободной (резервируемой) мощности по подстанциям ООО "Диагональ" с разбивкой по уровням напряжения в 1-м кв. 2018 г</t>
  </si>
  <si>
    <t>Рзаявл.=26223</t>
  </si>
  <si>
    <t>+Рзаяв.потери</t>
  </si>
  <si>
    <t>+Рзаяв.потери=</t>
  </si>
  <si>
    <t>март</t>
  </si>
  <si>
    <t>МРСК</t>
  </si>
  <si>
    <t>Донэнерго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</si>
</sst>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" fontId="3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3" fillId="0" borderId="0" xfId="0" applyNumberFormat="1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12" xfId="0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tabSelected="1" view="pageBreakPreview" topLeftCell="B35" zoomScale="80" zoomScaleNormal="70" zoomScaleSheetLayoutView="80" workbookViewId="0">
      <selection activeCell="D53" sqref="D53"/>
    </sheetView>
  </sheetViews>
  <sheetFormatPr defaultRowHeight="15.75" x14ac:dyDescent="0.25"/>
  <cols>
    <col min="1" max="1" width="5.42578125" style="1" customWidth="1"/>
    <col min="2" max="2" width="26.85546875" style="6" customWidth="1"/>
    <col min="3" max="4" width="16.42578125" style="1" customWidth="1"/>
    <col min="5" max="5" width="17.5703125" style="1" customWidth="1"/>
    <col min="6" max="16" width="17" style="1" customWidth="1"/>
    <col min="17" max="17" width="19.28515625" style="1" customWidth="1"/>
    <col min="18" max="18" width="6.42578125" style="1" customWidth="1"/>
    <col min="19" max="19" width="16.28515625" style="1" customWidth="1"/>
    <col min="20" max="20" width="13.5703125" style="1" customWidth="1"/>
    <col min="21" max="21" width="8.5703125" style="1" customWidth="1"/>
    <col min="22" max="22" width="13.140625" style="1" bestFit="1" customWidth="1"/>
    <col min="23" max="16384" width="9.140625" style="1"/>
  </cols>
  <sheetData>
    <row r="1" spans="1:22" ht="15.75" customHeight="1" x14ac:dyDescent="0.3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2" ht="15.75" customHeight="1" x14ac:dyDescent="0.3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22" x14ac:dyDescent="0.25">
      <c r="B3" s="61"/>
      <c r="C3" s="23"/>
      <c r="D3" s="23"/>
    </row>
    <row r="4" spans="1:22" s="13" customFormat="1" ht="63" x14ac:dyDescent="0.25">
      <c r="A4" s="9" t="s">
        <v>9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14</v>
      </c>
      <c r="G4" s="11" t="s">
        <v>17</v>
      </c>
      <c r="H4" s="10" t="s">
        <v>13</v>
      </c>
      <c r="I4" s="10" t="s">
        <v>14</v>
      </c>
      <c r="J4" s="11" t="s">
        <v>17</v>
      </c>
      <c r="K4" s="10" t="s">
        <v>13</v>
      </c>
      <c r="L4" s="10" t="s">
        <v>14</v>
      </c>
      <c r="M4" s="11" t="s">
        <v>17</v>
      </c>
      <c r="N4" s="10" t="s">
        <v>13</v>
      </c>
      <c r="O4" s="10" t="s">
        <v>14</v>
      </c>
      <c r="P4" s="11" t="s">
        <v>17</v>
      </c>
      <c r="Q4" s="12" t="s">
        <v>16</v>
      </c>
    </row>
    <row r="5" spans="1:22" s="13" customFormat="1" x14ac:dyDescent="0.25">
      <c r="A5" s="101" t="s">
        <v>47</v>
      </c>
      <c r="B5" s="99"/>
      <c r="C5" s="99"/>
      <c r="D5" s="102"/>
      <c r="E5" s="84" t="s">
        <v>33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12"/>
      <c r="S5" s="26"/>
      <c r="U5" s="26"/>
    </row>
    <row r="6" spans="1:22" s="13" customFormat="1" x14ac:dyDescent="0.25">
      <c r="A6" s="103"/>
      <c r="B6" s="104"/>
      <c r="C6" s="104"/>
      <c r="D6" s="105"/>
      <c r="E6" s="87" t="s">
        <v>18</v>
      </c>
      <c r="F6" s="88"/>
      <c r="G6" s="89"/>
      <c r="H6" s="90" t="s">
        <v>19</v>
      </c>
      <c r="I6" s="91"/>
      <c r="J6" s="92"/>
      <c r="K6" s="93" t="s">
        <v>20</v>
      </c>
      <c r="L6" s="94"/>
      <c r="M6" s="95"/>
      <c r="N6" s="84" t="s">
        <v>21</v>
      </c>
      <c r="O6" s="85"/>
      <c r="P6" s="86"/>
      <c r="Q6" s="12"/>
    </row>
    <row r="7" spans="1:22" ht="15.75" customHeight="1" x14ac:dyDescent="0.25">
      <c r="A7" s="3" t="s">
        <v>0</v>
      </c>
      <c r="B7" s="16" t="s">
        <v>28</v>
      </c>
      <c r="C7" s="14">
        <v>0</v>
      </c>
      <c r="D7" s="15">
        <v>22923.75</v>
      </c>
      <c r="E7" s="8">
        <f>(2625480)/560</f>
        <v>4688.3571428571431</v>
      </c>
      <c r="F7" s="8">
        <f>D7-E7</f>
        <v>18235.392857142855</v>
      </c>
      <c r="G7" s="7"/>
      <c r="H7" s="7"/>
      <c r="I7" s="7"/>
      <c r="J7" s="7"/>
      <c r="K7" s="7"/>
      <c r="L7" s="7"/>
      <c r="M7" s="7"/>
      <c r="N7" s="7"/>
      <c r="O7" s="7"/>
      <c r="P7" s="7"/>
      <c r="Q7" s="96" t="s">
        <v>32</v>
      </c>
    </row>
    <row r="8" spans="1:22" x14ac:dyDescent="0.25">
      <c r="A8" s="3" t="s">
        <v>1</v>
      </c>
      <c r="B8" s="64" t="s">
        <v>23</v>
      </c>
      <c r="C8" s="14">
        <v>0</v>
      </c>
      <c r="D8" s="14">
        <v>21506.91</v>
      </c>
      <c r="E8" s="8"/>
      <c r="F8" s="8"/>
      <c r="G8" s="7"/>
      <c r="H8" s="8">
        <f>2639492/620</f>
        <v>4257.2451612903224</v>
      </c>
      <c r="I8" s="19">
        <f>D8-H8</f>
        <v>17249.664838709679</v>
      </c>
      <c r="J8" s="7"/>
      <c r="K8" s="7"/>
      <c r="L8" s="7"/>
      <c r="M8" s="7"/>
      <c r="N8" s="7"/>
      <c r="O8" s="7"/>
      <c r="P8" s="7"/>
      <c r="Q8" s="97"/>
    </row>
    <row r="9" spans="1:22" ht="31.5" x14ac:dyDescent="0.25">
      <c r="A9" s="3" t="s">
        <v>2</v>
      </c>
      <c r="B9" s="16" t="s">
        <v>48</v>
      </c>
      <c r="C9" s="14">
        <v>13000</v>
      </c>
      <c r="D9" s="14">
        <v>2100</v>
      </c>
      <c r="E9" s="8">
        <f>(833007)/560</f>
        <v>1487.5125</v>
      </c>
      <c r="F9" s="8">
        <f t="shared" ref="F9:F19" si="0">D9-E9</f>
        <v>612.48749999999995</v>
      </c>
      <c r="G9" s="7"/>
      <c r="H9" s="7"/>
      <c r="I9" s="19"/>
      <c r="J9" s="7"/>
      <c r="K9" s="7"/>
      <c r="L9" s="7"/>
      <c r="M9" s="7"/>
      <c r="N9" s="7"/>
      <c r="O9" s="7"/>
      <c r="P9" s="7"/>
      <c r="Q9" s="97"/>
    </row>
    <row r="10" spans="1:22" ht="31.5" x14ac:dyDescent="0.25">
      <c r="A10" s="3" t="s">
        <v>3</v>
      </c>
      <c r="B10" s="64" t="s">
        <v>49</v>
      </c>
      <c r="C10" s="14">
        <v>8000</v>
      </c>
      <c r="D10" s="14">
        <v>2000</v>
      </c>
      <c r="E10" s="8"/>
      <c r="F10" s="8"/>
      <c r="G10" s="7"/>
      <c r="H10" s="8">
        <f>(1227893)/620</f>
        <v>1980.4725806451613</v>
      </c>
      <c r="I10" s="19">
        <f>D10-H10</f>
        <v>19.527419354838685</v>
      </c>
      <c r="J10" s="7"/>
      <c r="K10" s="7"/>
      <c r="L10" s="7"/>
      <c r="M10" s="7"/>
      <c r="N10" s="7"/>
      <c r="O10" s="7"/>
      <c r="P10" s="7"/>
      <c r="Q10" s="97"/>
    </row>
    <row r="11" spans="1:22" ht="31.5" x14ac:dyDescent="0.25">
      <c r="A11" s="3" t="s">
        <v>4</v>
      </c>
      <c r="B11" s="16" t="s">
        <v>50</v>
      </c>
      <c r="C11" s="14">
        <v>1120</v>
      </c>
      <c r="D11" s="14">
        <v>250</v>
      </c>
      <c r="E11" s="8">
        <f>116736/560</f>
        <v>208.45714285714286</v>
      </c>
      <c r="F11" s="8">
        <f t="shared" si="0"/>
        <v>41.542857142857144</v>
      </c>
      <c r="G11" s="7"/>
      <c r="H11" s="7"/>
      <c r="I11" s="19"/>
      <c r="J11" s="7"/>
      <c r="K11" s="7"/>
      <c r="L11" s="7"/>
      <c r="M11" s="7"/>
      <c r="N11" s="7"/>
      <c r="O11" s="7"/>
      <c r="P11" s="7"/>
      <c r="Q11" s="97"/>
    </row>
    <row r="12" spans="1:22" x14ac:dyDescent="0.25">
      <c r="A12" s="3" t="s">
        <v>5</v>
      </c>
      <c r="B12" s="16" t="s">
        <v>29</v>
      </c>
      <c r="C12" s="14">
        <v>0</v>
      </c>
      <c r="D12" s="14">
        <v>1954.32</v>
      </c>
      <c r="E12" s="8">
        <f>(335+253476)/560</f>
        <v>453.23392857142858</v>
      </c>
      <c r="F12" s="8">
        <f t="shared" si="0"/>
        <v>1501.0860714285714</v>
      </c>
      <c r="G12" s="2"/>
      <c r="H12" s="7"/>
      <c r="I12" s="19"/>
      <c r="J12" s="2"/>
      <c r="K12" s="2"/>
      <c r="L12" s="2"/>
      <c r="M12" s="2"/>
      <c r="N12" s="2"/>
      <c r="O12" s="2"/>
      <c r="P12" s="2"/>
      <c r="Q12" s="97"/>
    </row>
    <row r="13" spans="1:22" ht="15.75" customHeight="1" x14ac:dyDescent="0.25">
      <c r="A13" s="3" t="s">
        <v>6</v>
      </c>
      <c r="B13" s="16" t="s">
        <v>30</v>
      </c>
      <c r="C13" s="14">
        <v>0</v>
      </c>
      <c r="D13" s="14">
        <v>289.5</v>
      </c>
      <c r="E13" s="8">
        <f>30586/500</f>
        <v>61.171999999999997</v>
      </c>
      <c r="F13" s="8">
        <f t="shared" si="0"/>
        <v>228.328</v>
      </c>
      <c r="G13" s="7"/>
      <c r="H13" s="7"/>
      <c r="I13" s="19"/>
      <c r="J13" s="7"/>
      <c r="K13" s="7"/>
      <c r="L13" s="7"/>
      <c r="M13" s="7"/>
      <c r="N13" s="7"/>
      <c r="O13" s="7"/>
      <c r="P13" s="7"/>
      <c r="Q13" s="97"/>
    </row>
    <row r="14" spans="1:22" x14ac:dyDescent="0.25">
      <c r="A14" s="3" t="s">
        <v>7</v>
      </c>
      <c r="B14" s="16" t="s">
        <v>22</v>
      </c>
      <c r="C14" s="14">
        <v>32000</v>
      </c>
      <c r="D14" s="14">
        <v>16000</v>
      </c>
      <c r="E14" s="18">
        <f>2325050/565</f>
        <v>4115.1327433628321</v>
      </c>
      <c r="F14" s="8">
        <f t="shared" si="0"/>
        <v>11884.867256637168</v>
      </c>
      <c r="G14" s="7"/>
      <c r="H14" s="2"/>
      <c r="I14" s="19"/>
      <c r="J14" s="7"/>
      <c r="K14" s="7"/>
      <c r="L14" s="7"/>
      <c r="M14" s="7"/>
      <c r="N14" s="7"/>
      <c r="O14" s="7"/>
      <c r="P14" s="7"/>
      <c r="Q14" s="97"/>
    </row>
    <row r="15" spans="1:22" x14ac:dyDescent="0.25">
      <c r="A15" s="3" t="s">
        <v>8</v>
      </c>
      <c r="B15" s="16" t="s">
        <v>24</v>
      </c>
      <c r="C15" s="14">
        <v>80000</v>
      </c>
      <c r="D15" s="14">
        <v>40000</v>
      </c>
      <c r="E15" s="8">
        <f>2596610/565</f>
        <v>4595.7699115044252</v>
      </c>
      <c r="F15" s="8">
        <f t="shared" si="0"/>
        <v>35404.230088495577</v>
      </c>
      <c r="G15" s="2"/>
      <c r="H15" s="7"/>
      <c r="I15" s="19"/>
      <c r="J15" s="2"/>
      <c r="K15" s="2"/>
      <c r="L15" s="2"/>
      <c r="M15" s="2"/>
      <c r="N15" s="2"/>
      <c r="O15" s="2"/>
      <c r="P15" s="2"/>
      <c r="Q15" s="97"/>
    </row>
    <row r="16" spans="1:22" x14ac:dyDescent="0.25">
      <c r="A16" s="3">
        <v>10</v>
      </c>
      <c r="B16" s="16" t="s">
        <v>25</v>
      </c>
      <c r="C16" s="14">
        <v>20000</v>
      </c>
      <c r="D16" s="14">
        <v>10000</v>
      </c>
      <c r="E16" s="8">
        <f>1575250/569</f>
        <v>2768.4534270650265</v>
      </c>
      <c r="F16" s="8">
        <f t="shared" si="0"/>
        <v>7231.5465729349735</v>
      </c>
      <c r="G16" s="2"/>
      <c r="H16" s="7"/>
      <c r="I16" s="19"/>
      <c r="J16" s="2"/>
      <c r="K16" s="2"/>
      <c r="L16" s="2"/>
      <c r="M16" s="2"/>
      <c r="N16" s="2"/>
      <c r="O16" s="2"/>
      <c r="P16" s="2"/>
      <c r="Q16" s="97"/>
      <c r="S16" s="38"/>
      <c r="U16" s="23"/>
      <c r="V16" s="23"/>
    </row>
    <row r="17" spans="1:16384" x14ac:dyDescent="0.25">
      <c r="A17" s="3">
        <v>11</v>
      </c>
      <c r="B17" s="43" t="s">
        <v>26</v>
      </c>
      <c r="C17" s="14">
        <v>8000</v>
      </c>
      <c r="D17" s="14">
        <v>4000</v>
      </c>
      <c r="E17" s="5"/>
      <c r="F17" s="8"/>
      <c r="G17" s="2"/>
      <c r="H17" s="18">
        <f>1030139/720</f>
        <v>1430.7486111111111</v>
      </c>
      <c r="I17" s="19">
        <f>D17-H17</f>
        <v>2569.2513888888889</v>
      </c>
      <c r="J17" s="2"/>
      <c r="K17" s="2"/>
      <c r="L17" s="2"/>
      <c r="M17" s="2"/>
      <c r="N17" s="2"/>
      <c r="O17" s="2"/>
      <c r="P17" s="2"/>
      <c r="Q17" s="97"/>
      <c r="S17" s="53"/>
      <c r="T17" s="53"/>
      <c r="U17" s="53" t="s">
        <v>42</v>
      </c>
      <c r="V17" s="55">
        <f>SUM(H6:H18)</f>
        <v>8211.7830197132625</v>
      </c>
      <c r="W17" s="53"/>
    </row>
    <row r="18" spans="1:16384" x14ac:dyDescent="0.25">
      <c r="A18" s="3">
        <v>12</v>
      </c>
      <c r="B18" s="43" t="s">
        <v>27</v>
      </c>
      <c r="C18" s="47">
        <v>0</v>
      </c>
      <c r="D18" s="49">
        <v>1759</v>
      </c>
      <c r="E18" s="5"/>
      <c r="F18" s="8"/>
      <c r="G18" s="2"/>
      <c r="H18" s="18">
        <f>391188/720</f>
        <v>543.31666666666672</v>
      </c>
      <c r="I18" s="19">
        <f>D18-H18</f>
        <v>1215.6833333333334</v>
      </c>
      <c r="J18" s="2"/>
      <c r="K18" s="2"/>
      <c r="L18" s="2"/>
      <c r="M18" s="2"/>
      <c r="N18" s="2"/>
      <c r="O18" s="2"/>
      <c r="P18" s="2"/>
      <c r="Q18" s="97"/>
      <c r="S18" s="53" t="s">
        <v>43</v>
      </c>
      <c r="T18" s="55">
        <f>V17+V18</f>
        <v>26589.871815931263</v>
      </c>
      <c r="U18" s="53" t="s">
        <v>44</v>
      </c>
      <c r="V18" s="55">
        <f>SUM(E6:E18)</f>
        <v>18378.088796217999</v>
      </c>
      <c r="W18" s="53"/>
    </row>
    <row r="19" spans="1:16384" x14ac:dyDescent="0.25">
      <c r="A19" s="3">
        <v>13</v>
      </c>
      <c r="B19" s="17" t="s">
        <v>31</v>
      </c>
      <c r="C19" s="47">
        <v>0</v>
      </c>
      <c r="D19" s="49">
        <v>410</v>
      </c>
      <c r="E19" s="18">
        <f>272106/668</f>
        <v>407.3443113772455</v>
      </c>
      <c r="F19" s="8">
        <f t="shared" si="0"/>
        <v>2.6556886227544965</v>
      </c>
      <c r="G19" s="5"/>
      <c r="H19" s="2"/>
      <c r="I19" s="19"/>
      <c r="J19" s="5"/>
      <c r="K19" s="5"/>
      <c r="L19" s="5"/>
      <c r="M19" s="5"/>
      <c r="N19" s="5"/>
      <c r="O19" s="5"/>
      <c r="P19" s="5"/>
      <c r="Q19" s="98"/>
      <c r="S19" s="54" t="s">
        <v>45</v>
      </c>
      <c r="T19" s="55">
        <v>26590</v>
      </c>
      <c r="U19" s="53"/>
      <c r="V19" s="53"/>
      <c r="W19" s="53"/>
    </row>
    <row r="20" spans="1:16384" ht="30" x14ac:dyDescent="0.25">
      <c r="A20" s="3">
        <v>14</v>
      </c>
      <c r="B20" s="62" t="s">
        <v>37</v>
      </c>
      <c r="C20" s="48">
        <v>0</v>
      </c>
      <c r="D20" s="50">
        <v>1260</v>
      </c>
      <c r="E20" s="39"/>
      <c r="F20" s="39"/>
      <c r="G20" s="39"/>
      <c r="H20" s="39"/>
      <c r="I20" s="39"/>
      <c r="J20" s="39"/>
      <c r="K20" s="51">
        <f>ROUND(507618/591,30)</f>
        <v>858.91370558375604</v>
      </c>
      <c r="L20" s="51">
        <f>D20-K20</f>
        <v>401.08629441624396</v>
      </c>
      <c r="M20" s="39"/>
      <c r="N20" s="39"/>
      <c r="O20" s="39"/>
      <c r="P20" s="39"/>
      <c r="Q20" s="57" t="s">
        <v>40</v>
      </c>
      <c r="S20" s="54"/>
      <c r="T20" s="55"/>
      <c r="U20" s="53"/>
      <c r="V20" s="53"/>
      <c r="W20" s="53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40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40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40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40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40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40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40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40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40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40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40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40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40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40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40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40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40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40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40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40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40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40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40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40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40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40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40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40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40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40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40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40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40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40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40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40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40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40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40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40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40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40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40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40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40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40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40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40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40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40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40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40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40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40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40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40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40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40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40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40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40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40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40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40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40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40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40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40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40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40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40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40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40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40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40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40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40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40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40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40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40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40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40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40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40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40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40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40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40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40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40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40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40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40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40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40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40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40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40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40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40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40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40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40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40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40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40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40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40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40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40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40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40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40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40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40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40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40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40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40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40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40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40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40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40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40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40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40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40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40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40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40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40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40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40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40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40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40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40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40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40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40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40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40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40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40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40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40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40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40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40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40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40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40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40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40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40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40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40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40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40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40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40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40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40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40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40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40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40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40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40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40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40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40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40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40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40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40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40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40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40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40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40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40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40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40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40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40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40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40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40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40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40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40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40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40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40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40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40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40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40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40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40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40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40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40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40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40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40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40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40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40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40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40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40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40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40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40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40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40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40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40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40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40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40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40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40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40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40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40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40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40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40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40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40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40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40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40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40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40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40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40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40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40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40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40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40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40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40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40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40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40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40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40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40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40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40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40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40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40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40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40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40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40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40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40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40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40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40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40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40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40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40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40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40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40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40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40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40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40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40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40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40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40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40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40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40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40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40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40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40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40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40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40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40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40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40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40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40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40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40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40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40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40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40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40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40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40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40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40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40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40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40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40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40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40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40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40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40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40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40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40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40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40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40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40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40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40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40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40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40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40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40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40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40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40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40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40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40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40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40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40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40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40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40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40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40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40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40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40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40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40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40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40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40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40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40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40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40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40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40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40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40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40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40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40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40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40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40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40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40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40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40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40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40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40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40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40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40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40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40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40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40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40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40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40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40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40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40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40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40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40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40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40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40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40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40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40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40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40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40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40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40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40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40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40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40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40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40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40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40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40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40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40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40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40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40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40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40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40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40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40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40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40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40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40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40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40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40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40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40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40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40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40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40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40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40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40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40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40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40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40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40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40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40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40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40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40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40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40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40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40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40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40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40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40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40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40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40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40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40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40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40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40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40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40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40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40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40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40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40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40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40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40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40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40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40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40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40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40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40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40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40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40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40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40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40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40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40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40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40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40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40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40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40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40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40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40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40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40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40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40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40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40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40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40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40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40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40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40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40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40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40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40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40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40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40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40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40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40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40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40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40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40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40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40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40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40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40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40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40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40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40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40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40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40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40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40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40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40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40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40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40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40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40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40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40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40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40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40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40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40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40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40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40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40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40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40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40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40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40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40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40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40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40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40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40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40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40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40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40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40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40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40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40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40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40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40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40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40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40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40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40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40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40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40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40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40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40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40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40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40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40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40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40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40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40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40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40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40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40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40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40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40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40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40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40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40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40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40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40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40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40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40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40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40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40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40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40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40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40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40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40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40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40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40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40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40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40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40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40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40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40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40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40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40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40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40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40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40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40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40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40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40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40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40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40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40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40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40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40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40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40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40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40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40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40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40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40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40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40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40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40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40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40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40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40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40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40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40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40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40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40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40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40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40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40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40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40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40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40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40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40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40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40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40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40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40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40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40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40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40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40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40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40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40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40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40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40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40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40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40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40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40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40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40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40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40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40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40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40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40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40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40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40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40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40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40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40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40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40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40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40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40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40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40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40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40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40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40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40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40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40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40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40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40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40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40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40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40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40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40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40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40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40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40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40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40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40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40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40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40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40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40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40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40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40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40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40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40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40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40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40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40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40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40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40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40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40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40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40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40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40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40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40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40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40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40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40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40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40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40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40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40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40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40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40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40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40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40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40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40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40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40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40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40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40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40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40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40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40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40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40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40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40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40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40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40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40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40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40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40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40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40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40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40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40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40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40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40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40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40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40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40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40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40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40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40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40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40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40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40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40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40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40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40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40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40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40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40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40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40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40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40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40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40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40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40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40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40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40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40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40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40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40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40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40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40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40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40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40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40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40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40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40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40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40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40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40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40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40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40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40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40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40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40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40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40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40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40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40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40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40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40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40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40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40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40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40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40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40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40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40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40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40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40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40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40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40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40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40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40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40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40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40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40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40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40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40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40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40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40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40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40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40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40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40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40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40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40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40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40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40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40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40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40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40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40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40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40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40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40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40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40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40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40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40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40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40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40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40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40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40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40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40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40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40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40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40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40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40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40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40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40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40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40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40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40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40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40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40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40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40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40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40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40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40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40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40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40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40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40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40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40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40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40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40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40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40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40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40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40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40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40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40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40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40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40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40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40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40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40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40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40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40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40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40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40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40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40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40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40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40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40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40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40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40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40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40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40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40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40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40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40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40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40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40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40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40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40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40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40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40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40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40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40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40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40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40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40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40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40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40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40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40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40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40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40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40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40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40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40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40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40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40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40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40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40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40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40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40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40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40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40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40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40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40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40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40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40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40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40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40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40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40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40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40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40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40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40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40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40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40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40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40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40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40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40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  <c r="WUW20" s="40"/>
      <c r="WUX20" s="40"/>
      <c r="WUY20" s="40"/>
      <c r="WUZ20" s="40"/>
      <c r="WVA20" s="40"/>
      <c r="WVB20" s="40"/>
      <c r="WVC20" s="40"/>
      <c r="WVD20" s="40"/>
      <c r="WVE20" s="40"/>
      <c r="WVF20" s="40"/>
      <c r="WVG20" s="40"/>
      <c r="WVH20" s="40"/>
      <c r="WVI20" s="40"/>
      <c r="WVJ20" s="40"/>
      <c r="WVK20" s="40"/>
      <c r="WVL20" s="40"/>
      <c r="WVM20" s="40"/>
      <c r="WVN20" s="40"/>
      <c r="WVO20" s="40"/>
      <c r="WVP20" s="40"/>
      <c r="WVQ20" s="40"/>
      <c r="WVR20" s="40"/>
      <c r="WVS20" s="40"/>
      <c r="WVT20" s="40"/>
      <c r="WVU20" s="40"/>
      <c r="WVV20" s="40"/>
      <c r="WVW20" s="40"/>
      <c r="WVX20" s="40"/>
      <c r="WVY20" s="40"/>
      <c r="WVZ20" s="40"/>
      <c r="WWA20" s="40"/>
      <c r="WWB20" s="40"/>
      <c r="WWC20" s="40"/>
      <c r="WWD20" s="40"/>
      <c r="WWE20" s="40"/>
      <c r="WWF20" s="40"/>
      <c r="WWG20" s="40"/>
      <c r="WWH20" s="40"/>
      <c r="WWI20" s="40"/>
      <c r="WWJ20" s="40"/>
      <c r="WWK20" s="40"/>
      <c r="WWL20" s="40"/>
      <c r="WWM20" s="40"/>
      <c r="WWN20" s="40"/>
      <c r="WWO20" s="40"/>
      <c r="WWP20" s="40"/>
      <c r="WWQ20" s="40"/>
      <c r="WWR20" s="40"/>
      <c r="WWS20" s="40"/>
      <c r="WWT20" s="40"/>
      <c r="WWU20" s="40"/>
      <c r="WWV20" s="40"/>
      <c r="WWW20" s="40"/>
      <c r="WWX20" s="40"/>
      <c r="WWY20" s="40"/>
      <c r="WWZ20" s="40"/>
      <c r="WXA20" s="40"/>
      <c r="WXB20" s="40"/>
      <c r="WXC20" s="40"/>
      <c r="WXD20" s="40"/>
      <c r="WXE20" s="40"/>
      <c r="WXF20" s="40"/>
      <c r="WXG20" s="40"/>
      <c r="WXH20" s="40"/>
      <c r="WXI20" s="40"/>
      <c r="WXJ20" s="40"/>
      <c r="WXK20" s="40"/>
      <c r="WXL20" s="40"/>
      <c r="WXM20" s="40"/>
      <c r="WXN20" s="40"/>
      <c r="WXO20" s="40"/>
      <c r="WXP20" s="40"/>
      <c r="WXQ20" s="40"/>
      <c r="WXR20" s="40"/>
      <c r="WXS20" s="40"/>
      <c r="WXT20" s="40"/>
      <c r="WXU20" s="40"/>
      <c r="WXV20" s="40"/>
      <c r="WXW20" s="40"/>
      <c r="WXX20" s="40"/>
      <c r="WXY20" s="40"/>
      <c r="WXZ20" s="40"/>
      <c r="WYA20" s="40"/>
      <c r="WYB20" s="40"/>
      <c r="WYC20" s="40"/>
      <c r="WYD20" s="40"/>
      <c r="WYE20" s="40"/>
      <c r="WYF20" s="40"/>
      <c r="WYG20" s="40"/>
      <c r="WYH20" s="40"/>
      <c r="WYI20" s="40"/>
      <c r="WYJ20" s="40"/>
      <c r="WYK20" s="40"/>
      <c r="WYL20" s="40"/>
      <c r="WYM20" s="40"/>
      <c r="WYN20" s="40"/>
      <c r="WYO20" s="40"/>
      <c r="WYP20" s="40"/>
      <c r="WYQ20" s="40"/>
      <c r="WYR20" s="40"/>
      <c r="WYS20" s="40"/>
      <c r="WYT20" s="40"/>
      <c r="WYU20" s="40"/>
      <c r="WYV20" s="40"/>
      <c r="WYW20" s="40"/>
      <c r="WYX20" s="40"/>
      <c r="WYY20" s="40"/>
      <c r="WYZ20" s="40"/>
      <c r="WZA20" s="40"/>
      <c r="WZB20" s="40"/>
      <c r="WZC20" s="40"/>
      <c r="WZD20" s="40"/>
      <c r="WZE20" s="40"/>
      <c r="WZF20" s="40"/>
      <c r="WZG20" s="40"/>
      <c r="WZH20" s="40"/>
      <c r="WZI20" s="40"/>
      <c r="WZJ20" s="40"/>
      <c r="WZK20" s="40"/>
      <c r="WZL20" s="40"/>
      <c r="WZM20" s="40"/>
      <c r="WZN20" s="40"/>
      <c r="WZO20" s="40"/>
      <c r="WZP20" s="40"/>
      <c r="WZQ20" s="40"/>
      <c r="WZR20" s="40"/>
      <c r="WZS20" s="40"/>
      <c r="WZT20" s="40"/>
      <c r="WZU20" s="40"/>
      <c r="WZV20" s="40"/>
      <c r="WZW20" s="40"/>
      <c r="WZX20" s="40"/>
      <c r="WZY20" s="40"/>
      <c r="WZZ20" s="40"/>
      <c r="XAA20" s="40"/>
      <c r="XAB20" s="40"/>
      <c r="XAC20" s="40"/>
      <c r="XAD20" s="40"/>
      <c r="XAE20" s="40"/>
      <c r="XAF20" s="40"/>
      <c r="XAG20" s="40"/>
      <c r="XAH20" s="40"/>
      <c r="XAI20" s="40"/>
      <c r="XAJ20" s="40"/>
      <c r="XAK20" s="40"/>
      <c r="XAL20" s="40"/>
      <c r="XAM20" s="40"/>
      <c r="XAN20" s="40"/>
      <c r="XAO20" s="40"/>
      <c r="XAP20" s="40"/>
      <c r="XAQ20" s="40"/>
      <c r="XAR20" s="40"/>
      <c r="XAS20" s="40"/>
      <c r="XAT20" s="40"/>
      <c r="XAU20" s="40"/>
      <c r="XAV20" s="40"/>
      <c r="XAW20" s="40"/>
      <c r="XAX20" s="40"/>
      <c r="XAY20" s="40"/>
      <c r="XAZ20" s="40"/>
      <c r="XBA20" s="40"/>
      <c r="XBB20" s="40"/>
      <c r="XBC20" s="40"/>
      <c r="XBD20" s="40"/>
      <c r="XBE20" s="40"/>
      <c r="XBF20" s="40"/>
      <c r="XBG20" s="40"/>
      <c r="XBH20" s="40"/>
      <c r="XBI20" s="40"/>
      <c r="XBJ20" s="40"/>
      <c r="XBK20" s="40"/>
      <c r="XBL20" s="40"/>
      <c r="XBM20" s="40"/>
      <c r="XBN20" s="40"/>
      <c r="XBO20" s="40"/>
      <c r="XBP20" s="40"/>
      <c r="XBQ20" s="40"/>
      <c r="XBR20" s="40"/>
      <c r="XBS20" s="40"/>
      <c r="XBT20" s="40"/>
      <c r="XBU20" s="40"/>
      <c r="XBV20" s="40"/>
      <c r="XBW20" s="40"/>
      <c r="XBX20" s="40"/>
      <c r="XBY20" s="40"/>
      <c r="XBZ20" s="40"/>
      <c r="XCA20" s="40"/>
      <c r="XCB20" s="40"/>
      <c r="XCC20" s="40"/>
      <c r="XCD20" s="40"/>
      <c r="XCE20" s="40"/>
      <c r="XCF20" s="40"/>
      <c r="XCG20" s="40"/>
      <c r="XCH20" s="40"/>
      <c r="XCI20" s="40"/>
      <c r="XCJ20" s="40"/>
      <c r="XCK20" s="40"/>
      <c r="XCL20" s="40"/>
      <c r="XCM20" s="40"/>
      <c r="XCN20" s="40"/>
      <c r="XCO20" s="40"/>
      <c r="XCP20" s="40"/>
      <c r="XCQ20" s="40"/>
      <c r="XCR20" s="40"/>
      <c r="XCS20" s="40"/>
      <c r="XCT20" s="40"/>
      <c r="XCU20" s="40"/>
      <c r="XCV20" s="40"/>
      <c r="XCW20" s="40"/>
      <c r="XCX20" s="40"/>
      <c r="XCY20" s="40"/>
      <c r="XCZ20" s="40"/>
      <c r="XDA20" s="40"/>
      <c r="XDB20" s="40"/>
      <c r="XDC20" s="40"/>
      <c r="XDD20" s="40"/>
      <c r="XDE20" s="40"/>
      <c r="XDF20" s="40"/>
      <c r="XDG20" s="40"/>
      <c r="XDH20" s="40"/>
      <c r="XDI20" s="40"/>
      <c r="XDJ20" s="40"/>
      <c r="XDK20" s="40"/>
      <c r="XDL20" s="40"/>
      <c r="XDM20" s="40"/>
      <c r="XDN20" s="40"/>
      <c r="XDO20" s="40"/>
      <c r="XDP20" s="40"/>
      <c r="XDQ20" s="40"/>
      <c r="XDR20" s="40"/>
      <c r="XDS20" s="40"/>
      <c r="XDT20" s="40"/>
      <c r="XDU20" s="40"/>
      <c r="XDV20" s="40"/>
      <c r="XDW20" s="40"/>
      <c r="XDX20" s="40"/>
      <c r="XDY20" s="40"/>
      <c r="XDZ20" s="40"/>
      <c r="XEA20" s="40"/>
      <c r="XEB20" s="40"/>
      <c r="XEC20" s="40"/>
      <c r="XED20" s="40"/>
      <c r="XEE20" s="40"/>
      <c r="XEF20" s="40"/>
      <c r="XEG20" s="40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40"/>
      <c r="XES20" s="40"/>
      <c r="XET20" s="40"/>
      <c r="XEU20" s="40"/>
      <c r="XEV20" s="40"/>
      <c r="XEW20" s="40"/>
      <c r="XEX20" s="40"/>
      <c r="XEY20" s="40"/>
      <c r="XEZ20" s="40"/>
      <c r="XFA20" s="40"/>
      <c r="XFB20" s="40"/>
      <c r="XFC20" s="40"/>
      <c r="XFD20" s="40"/>
    </row>
    <row r="21" spans="1:16384" ht="30" customHeight="1" x14ac:dyDescent="0.25">
      <c r="A21" s="3">
        <v>15</v>
      </c>
      <c r="B21" s="45" t="s">
        <v>34</v>
      </c>
      <c r="C21" s="14">
        <v>640</v>
      </c>
      <c r="D21" s="14">
        <v>578.91999999999996</v>
      </c>
      <c r="E21" s="18"/>
      <c r="F21" s="8"/>
      <c r="G21" s="5"/>
      <c r="H21" s="2"/>
      <c r="I21" s="19"/>
      <c r="J21" s="5"/>
      <c r="K21" s="49">
        <f>ROUND(195387/591,3)</f>
        <v>330.60399999999998</v>
      </c>
      <c r="L21" s="51">
        <f>D21-K21</f>
        <v>248.31599999999997</v>
      </c>
      <c r="M21" s="5"/>
      <c r="N21" s="5"/>
      <c r="O21" s="5"/>
      <c r="P21" s="5"/>
      <c r="Q21" s="57" t="s">
        <v>39</v>
      </c>
      <c r="R21" s="13"/>
      <c r="S21" s="58"/>
      <c r="T21" s="59"/>
      <c r="U21" s="59"/>
      <c r="V21" s="59"/>
      <c r="W21" s="59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</row>
    <row r="22" spans="1:16384" ht="25.5" customHeight="1" x14ac:dyDescent="0.25">
      <c r="A22" s="3">
        <v>16</v>
      </c>
      <c r="B22" s="46" t="s">
        <v>38</v>
      </c>
      <c r="C22" s="37">
        <v>180</v>
      </c>
      <c r="D22" s="36">
        <v>220.1</v>
      </c>
      <c r="E22" s="25"/>
      <c r="F22" s="25"/>
      <c r="G22" s="25"/>
      <c r="H22" s="25"/>
      <c r="I22" s="25"/>
      <c r="J22" s="5"/>
      <c r="K22" s="49">
        <f>ROUND(53200/587,30)</f>
        <v>90.630323679727397</v>
      </c>
      <c r="L22" s="51">
        <f t="shared" ref="L22:L24" si="1">D22-K22</f>
        <v>129.46967632027258</v>
      </c>
      <c r="M22" s="5"/>
      <c r="N22" s="5"/>
      <c r="O22" s="5"/>
      <c r="P22" s="5"/>
      <c r="Q22" s="57" t="s">
        <v>39</v>
      </c>
      <c r="R22" s="13"/>
      <c r="S22" s="53"/>
      <c r="T22" s="53"/>
      <c r="U22" s="53" t="s">
        <v>46</v>
      </c>
      <c r="V22" s="75">
        <f>SUM(K20:K24)</f>
        <v>1438.8400292634833</v>
      </c>
      <c r="W22" s="59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</row>
    <row r="23" spans="1:16384" s="13" customFormat="1" ht="30.75" customHeight="1" x14ac:dyDescent="0.25">
      <c r="A23" s="3">
        <v>17</v>
      </c>
      <c r="B23" s="46" t="s">
        <v>35</v>
      </c>
      <c r="C23" s="37">
        <v>1260</v>
      </c>
      <c r="D23" s="36">
        <v>411</v>
      </c>
      <c r="E23" s="9"/>
      <c r="F23" s="9"/>
      <c r="G23" s="9"/>
      <c r="H23" s="9"/>
      <c r="I23" s="9"/>
      <c r="J23" s="9"/>
      <c r="K23" s="47">
        <f>ROUND((7164+65069)/589,3)</f>
        <v>122.637</v>
      </c>
      <c r="L23" s="51">
        <f t="shared" si="1"/>
        <v>288.363</v>
      </c>
      <c r="M23" s="9"/>
      <c r="N23" s="9"/>
      <c r="O23" s="9"/>
      <c r="P23" s="9"/>
      <c r="Q23" s="57" t="s">
        <v>39</v>
      </c>
      <c r="S23" s="53" t="s">
        <v>43</v>
      </c>
      <c r="T23" s="75">
        <f>V22</f>
        <v>1438.8400292634833</v>
      </c>
      <c r="U23" s="53"/>
      <c r="V23" s="54"/>
      <c r="W23" s="59"/>
    </row>
    <row r="24" spans="1:16384" s="13" customFormat="1" ht="35.25" customHeight="1" x14ac:dyDescent="0.25">
      <c r="A24" s="3">
        <v>18</v>
      </c>
      <c r="B24" s="46" t="s">
        <v>36</v>
      </c>
      <c r="C24" s="37">
        <v>800</v>
      </c>
      <c r="D24" s="36">
        <v>196</v>
      </c>
      <c r="E24" s="42"/>
      <c r="F24" s="42"/>
      <c r="G24" s="42"/>
      <c r="H24" s="43"/>
      <c r="I24" s="43"/>
      <c r="J24" s="43"/>
      <c r="K24" s="52">
        <f>ROUND((4282+16774)/584,3)</f>
        <v>36.055</v>
      </c>
      <c r="L24" s="51">
        <f t="shared" si="1"/>
        <v>159.94499999999999</v>
      </c>
      <c r="M24" s="44"/>
      <c r="N24" s="9"/>
      <c r="O24" s="9"/>
      <c r="P24" s="9"/>
      <c r="Q24" s="57" t="s">
        <v>39</v>
      </c>
      <c r="S24" s="54" t="s">
        <v>45</v>
      </c>
      <c r="T24" s="75">
        <f>1438.546+0.295</f>
        <v>1438.8410000000001</v>
      </c>
      <c r="U24" s="53"/>
      <c r="V24" s="53"/>
      <c r="W24" s="59"/>
    </row>
    <row r="25" spans="1:16384" s="13" customFormat="1" ht="22.5" customHeight="1" x14ac:dyDescent="0.25">
      <c r="A25" s="3"/>
      <c r="B25" s="12" t="s">
        <v>57</v>
      </c>
      <c r="C25" s="12"/>
      <c r="D25" s="12"/>
      <c r="E25" s="41"/>
      <c r="F25" s="66">
        <f>SUM(F7:F24)</f>
        <v>75142.136892404742</v>
      </c>
      <c r="G25" s="71"/>
      <c r="H25" s="72"/>
      <c r="I25" s="66">
        <f>SUM(I7:I24)</f>
        <v>21054.126980286743</v>
      </c>
      <c r="J25" s="73"/>
      <c r="K25" s="72"/>
      <c r="L25" s="66">
        <f>SUM(L7:L24)</f>
        <v>1227.1799707365165</v>
      </c>
      <c r="M25" s="34"/>
      <c r="N25" s="31"/>
      <c r="O25" s="32"/>
      <c r="P25" s="33"/>
      <c r="Q25" s="35"/>
      <c r="S25" s="79" t="s">
        <v>60</v>
      </c>
      <c r="T25" s="59"/>
      <c r="U25" s="59"/>
      <c r="V25" s="59"/>
      <c r="W25" s="59"/>
    </row>
    <row r="26" spans="1:16384" s="13" customFormat="1" x14ac:dyDescent="0.25">
      <c r="A26" s="36"/>
      <c r="B26" s="36"/>
      <c r="C26" s="37"/>
      <c r="D26" s="36"/>
      <c r="E26" s="84" t="s">
        <v>41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35"/>
      <c r="R26" s="1"/>
      <c r="S26" s="53"/>
      <c r="T26" s="53"/>
      <c r="U26" s="53"/>
      <c r="V26" s="53"/>
      <c r="W26" s="5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</row>
    <row r="27" spans="1:16384" s="13" customFormat="1" x14ac:dyDescent="0.25">
      <c r="A27" s="36"/>
      <c r="B27" s="36"/>
      <c r="C27" s="37"/>
      <c r="D27" s="36"/>
      <c r="E27" s="87" t="s">
        <v>18</v>
      </c>
      <c r="F27" s="88"/>
      <c r="G27" s="89"/>
      <c r="H27" s="90" t="s">
        <v>19</v>
      </c>
      <c r="I27" s="91"/>
      <c r="J27" s="92"/>
      <c r="K27" s="93" t="s">
        <v>20</v>
      </c>
      <c r="L27" s="94"/>
      <c r="M27" s="95"/>
      <c r="N27" s="84" t="s">
        <v>21</v>
      </c>
      <c r="O27" s="85"/>
      <c r="P27" s="86"/>
      <c r="Q27" s="35"/>
      <c r="R27" s="1"/>
      <c r="S27" s="53"/>
      <c r="T27" s="53"/>
      <c r="U27" s="53"/>
      <c r="V27" s="53"/>
      <c r="W27" s="5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</row>
    <row r="28" spans="1:16384" ht="15.75" customHeight="1" x14ac:dyDescent="0.25">
      <c r="A28" s="3" t="s">
        <v>0</v>
      </c>
      <c r="B28" s="16" t="s">
        <v>28</v>
      </c>
      <c r="C28" s="14">
        <v>0</v>
      </c>
      <c r="D28" s="15">
        <v>22923.75</v>
      </c>
      <c r="E28" s="8">
        <f>(2332080)/520</f>
        <v>4484.7692307692305</v>
      </c>
      <c r="F28" s="8">
        <f>D28-E28</f>
        <v>18438.98076923077</v>
      </c>
      <c r="G28" s="7"/>
      <c r="H28" s="77"/>
      <c r="I28" s="7"/>
      <c r="J28" s="7"/>
      <c r="K28" s="7"/>
      <c r="L28" s="7"/>
      <c r="M28" s="7"/>
      <c r="N28" s="7"/>
      <c r="O28" s="7"/>
      <c r="P28" s="7"/>
      <c r="Q28" s="96" t="s">
        <v>32</v>
      </c>
      <c r="S28" s="53"/>
      <c r="T28" s="53"/>
      <c r="U28" s="53"/>
      <c r="V28" s="53"/>
      <c r="W28" s="53"/>
    </row>
    <row r="29" spans="1:16384" x14ac:dyDescent="0.25">
      <c r="A29" s="3" t="s">
        <v>1</v>
      </c>
      <c r="B29" s="64" t="s">
        <v>23</v>
      </c>
      <c r="C29" s="14">
        <v>0</v>
      </c>
      <c r="D29" s="14">
        <v>21506.91</v>
      </c>
      <c r="E29" s="8"/>
      <c r="F29" s="8"/>
      <c r="G29" s="7"/>
      <c r="H29" s="8">
        <f>2375746/520</f>
        <v>4568.7423076923078</v>
      </c>
      <c r="I29" s="19">
        <f>D29-H29</f>
        <v>16938.167692307692</v>
      </c>
      <c r="J29" s="7"/>
      <c r="K29" s="7"/>
      <c r="L29" s="7"/>
      <c r="M29" s="7"/>
      <c r="N29" s="7"/>
      <c r="O29" s="7"/>
      <c r="P29" s="7"/>
      <c r="Q29" s="97"/>
      <c r="S29" s="53"/>
      <c r="T29" s="53"/>
      <c r="U29" s="53"/>
      <c r="V29" s="53"/>
      <c r="W29" s="53"/>
    </row>
    <row r="30" spans="1:16384" ht="31.5" x14ac:dyDescent="0.25">
      <c r="A30" s="3" t="s">
        <v>2</v>
      </c>
      <c r="B30" s="16" t="s">
        <v>51</v>
      </c>
      <c r="C30" s="14">
        <v>13000</v>
      </c>
      <c r="D30" s="14">
        <v>2100</v>
      </c>
      <c r="E30" s="8">
        <f>(728889)/543</f>
        <v>1342.3370165745857</v>
      </c>
      <c r="F30" s="8">
        <f t="shared" ref="F30" si="2">D30-E30</f>
        <v>757.66298342541427</v>
      </c>
      <c r="G30" s="7"/>
      <c r="H30" s="7"/>
      <c r="I30" s="19"/>
      <c r="J30" s="7"/>
      <c r="K30" s="7"/>
      <c r="L30" s="7"/>
      <c r="M30" s="7"/>
      <c r="N30" s="7"/>
      <c r="O30" s="7"/>
      <c r="P30" s="7"/>
      <c r="Q30" s="97"/>
      <c r="S30" s="53"/>
      <c r="T30" s="53"/>
      <c r="U30" s="53"/>
      <c r="V30" s="53"/>
      <c r="W30" s="53"/>
    </row>
    <row r="31" spans="1:16384" ht="31.5" x14ac:dyDescent="0.25">
      <c r="A31" s="3" t="s">
        <v>3</v>
      </c>
      <c r="B31" s="64" t="s">
        <v>52</v>
      </c>
      <c r="C31" s="14">
        <v>8000</v>
      </c>
      <c r="D31" s="14">
        <v>2000</v>
      </c>
      <c r="E31" s="8"/>
      <c r="F31" s="8"/>
      <c r="G31" s="7"/>
      <c r="H31" s="8">
        <f>(1147661)/575</f>
        <v>1995.9321739130435</v>
      </c>
      <c r="I31" s="19">
        <f>D31-H31</f>
        <v>4.0678260869565293</v>
      </c>
      <c r="J31" s="7"/>
      <c r="K31" s="7"/>
      <c r="L31" s="7"/>
      <c r="M31" s="7"/>
      <c r="N31" s="7"/>
      <c r="O31" s="7"/>
      <c r="P31" s="7"/>
      <c r="Q31" s="97"/>
      <c r="S31" s="53"/>
      <c r="T31" s="53"/>
      <c r="U31" s="53"/>
      <c r="V31" s="53"/>
      <c r="W31" s="53"/>
    </row>
    <row r="32" spans="1:16384" ht="31.5" x14ac:dyDescent="0.25">
      <c r="A32" s="3" t="s">
        <v>4</v>
      </c>
      <c r="B32" s="16" t="s">
        <v>53</v>
      </c>
      <c r="C32" s="14">
        <v>1120</v>
      </c>
      <c r="D32" s="14">
        <v>250</v>
      </c>
      <c r="E32" s="8">
        <f>108386/549</f>
        <v>197.42440801457195</v>
      </c>
      <c r="F32" s="8">
        <f t="shared" ref="F32:F37" si="3">D32-E32</f>
        <v>52.575591985428048</v>
      </c>
      <c r="G32" s="7"/>
      <c r="H32" s="7"/>
      <c r="I32" s="19"/>
      <c r="J32" s="7"/>
      <c r="K32" s="7"/>
      <c r="L32" s="7"/>
      <c r="M32" s="7"/>
      <c r="N32" s="7"/>
      <c r="O32" s="7"/>
      <c r="P32" s="7"/>
      <c r="Q32" s="97"/>
      <c r="S32" s="53"/>
      <c r="T32" s="53"/>
      <c r="U32" s="53"/>
      <c r="V32" s="53"/>
      <c r="W32" s="53"/>
    </row>
    <row r="33" spans="1:507" x14ac:dyDescent="0.25">
      <c r="A33" s="3" t="s">
        <v>5</v>
      </c>
      <c r="B33" s="16" t="s">
        <v>29</v>
      </c>
      <c r="C33" s="14">
        <v>0</v>
      </c>
      <c r="D33" s="14">
        <v>1954.32</v>
      </c>
      <c r="E33" s="8">
        <f>(1370+226922)/549</f>
        <v>415.83242258652092</v>
      </c>
      <c r="F33" s="8">
        <f t="shared" si="3"/>
        <v>1538.4875774134789</v>
      </c>
      <c r="G33" s="2"/>
      <c r="H33" s="7"/>
      <c r="I33" s="19"/>
      <c r="J33" s="2"/>
      <c r="K33" s="2"/>
      <c r="L33" s="2"/>
      <c r="M33" s="2"/>
      <c r="N33" s="2"/>
      <c r="O33" s="2"/>
      <c r="P33" s="2"/>
      <c r="Q33" s="97"/>
      <c r="S33" s="53"/>
      <c r="T33" s="53"/>
      <c r="U33" s="53"/>
      <c r="V33" s="53"/>
      <c r="W33" s="53"/>
    </row>
    <row r="34" spans="1:507" x14ac:dyDescent="0.25">
      <c r="A34" s="3" t="s">
        <v>6</v>
      </c>
      <c r="B34" s="16" t="s">
        <v>30</v>
      </c>
      <c r="C34" s="14">
        <v>0</v>
      </c>
      <c r="D34" s="14">
        <v>289.5</v>
      </c>
      <c r="E34" s="8">
        <f>26534/500</f>
        <v>53.067999999999998</v>
      </c>
      <c r="F34" s="8">
        <f t="shared" si="3"/>
        <v>236.43200000000002</v>
      </c>
      <c r="G34" s="7"/>
      <c r="H34" s="7"/>
      <c r="I34" s="19"/>
      <c r="J34" s="7"/>
      <c r="K34" s="7"/>
      <c r="L34" s="7"/>
      <c r="M34" s="7"/>
      <c r="N34" s="7"/>
      <c r="O34" s="7"/>
      <c r="P34" s="7"/>
      <c r="Q34" s="97"/>
      <c r="S34" s="53"/>
      <c r="T34" s="53"/>
      <c r="U34" s="53"/>
      <c r="V34" s="53"/>
      <c r="W34" s="53"/>
    </row>
    <row r="35" spans="1:507" x14ac:dyDescent="0.25">
      <c r="A35" s="3" t="s">
        <v>7</v>
      </c>
      <c r="B35" s="16" t="s">
        <v>22</v>
      </c>
      <c r="C35" s="14">
        <v>32000</v>
      </c>
      <c r="D35" s="14">
        <v>16000</v>
      </c>
      <c r="E35" s="18">
        <f>2128329/550</f>
        <v>3869.6890909090907</v>
      </c>
      <c r="F35" s="8">
        <f t="shared" si="3"/>
        <v>12130.310909090909</v>
      </c>
      <c r="G35" s="7"/>
      <c r="H35" s="2"/>
      <c r="I35" s="19"/>
      <c r="J35" s="7"/>
      <c r="K35" s="7"/>
      <c r="L35" s="7"/>
      <c r="M35" s="7"/>
      <c r="N35" s="7"/>
      <c r="O35" s="7"/>
      <c r="P35" s="7"/>
      <c r="Q35" s="97"/>
      <c r="S35" s="53"/>
      <c r="T35" s="53"/>
      <c r="U35" s="53"/>
      <c r="V35" s="53"/>
      <c r="W35" s="53"/>
    </row>
    <row r="36" spans="1:507" x14ac:dyDescent="0.25">
      <c r="A36" s="3" t="s">
        <v>8</v>
      </c>
      <c r="B36" s="16" t="s">
        <v>24</v>
      </c>
      <c r="C36" s="14">
        <v>80000</v>
      </c>
      <c r="D36" s="14">
        <v>40000</v>
      </c>
      <c r="E36" s="8">
        <f>2466660/550</f>
        <v>4484.8363636363638</v>
      </c>
      <c r="F36" s="8">
        <f t="shared" si="3"/>
        <v>35515.163636363635</v>
      </c>
      <c r="G36" s="2"/>
      <c r="H36" s="7"/>
      <c r="I36" s="19"/>
      <c r="J36" s="2"/>
      <c r="K36" s="2"/>
      <c r="L36" s="2"/>
      <c r="M36" s="2"/>
      <c r="N36" s="2"/>
      <c r="O36" s="2"/>
      <c r="P36" s="2"/>
      <c r="Q36" s="97"/>
      <c r="S36" s="53"/>
      <c r="T36" s="53"/>
      <c r="U36" s="53"/>
      <c r="V36" s="53"/>
      <c r="W36" s="53"/>
    </row>
    <row r="37" spans="1:507" x14ac:dyDescent="0.25">
      <c r="A37" s="3">
        <v>10</v>
      </c>
      <c r="B37" s="16" t="s">
        <v>25</v>
      </c>
      <c r="C37" s="14">
        <v>20000</v>
      </c>
      <c r="D37" s="14">
        <v>10000</v>
      </c>
      <c r="E37" s="8">
        <f>1258679/550</f>
        <v>2288.5072727272727</v>
      </c>
      <c r="F37" s="8">
        <f t="shared" si="3"/>
        <v>7711.4927272727273</v>
      </c>
      <c r="G37" s="2"/>
      <c r="H37" s="7"/>
      <c r="I37" s="19"/>
      <c r="J37" s="2"/>
      <c r="K37" s="2"/>
      <c r="L37" s="2"/>
      <c r="M37" s="2"/>
      <c r="N37" s="2"/>
      <c r="O37" s="2"/>
      <c r="P37" s="2"/>
      <c r="Q37" s="97"/>
      <c r="S37" s="53"/>
      <c r="T37" s="53"/>
      <c r="U37" s="53"/>
      <c r="V37" s="53"/>
      <c r="W37" s="53"/>
    </row>
    <row r="38" spans="1:507" ht="15.75" customHeight="1" x14ac:dyDescent="0.25">
      <c r="A38" s="3">
        <v>11</v>
      </c>
      <c r="B38" s="43" t="s">
        <v>26</v>
      </c>
      <c r="C38" s="14">
        <v>8000</v>
      </c>
      <c r="D38" s="14">
        <v>4000</v>
      </c>
      <c r="E38" s="5"/>
      <c r="F38" s="8"/>
      <c r="G38" s="2"/>
      <c r="H38" s="18">
        <f>874210/560</f>
        <v>1561.0892857142858</v>
      </c>
      <c r="I38" s="19">
        <f>D38-H38</f>
        <v>2438.9107142857142</v>
      </c>
      <c r="J38" s="2"/>
      <c r="K38" s="2"/>
      <c r="L38" s="2"/>
      <c r="M38" s="2"/>
      <c r="N38" s="2"/>
      <c r="O38" s="2"/>
      <c r="P38" s="2"/>
      <c r="Q38" s="97"/>
      <c r="S38" s="53"/>
      <c r="T38" s="53"/>
      <c r="U38" s="53" t="s">
        <v>42</v>
      </c>
      <c r="V38" s="55">
        <f>SUM(H28:H45)</f>
        <v>8677.2887673196365</v>
      </c>
      <c r="W38" s="53"/>
    </row>
    <row r="39" spans="1:507" x14ac:dyDescent="0.25">
      <c r="A39" s="3">
        <v>12</v>
      </c>
      <c r="B39" s="43" t="s">
        <v>27</v>
      </c>
      <c r="C39" s="47">
        <v>0</v>
      </c>
      <c r="D39" s="49">
        <v>1759</v>
      </c>
      <c r="E39" s="5"/>
      <c r="F39" s="8"/>
      <c r="G39" s="2"/>
      <c r="H39" s="18">
        <f>308854/560</f>
        <v>551.52499999999998</v>
      </c>
      <c r="I39" s="19">
        <f>D39-H39</f>
        <v>1207.4749999999999</v>
      </c>
      <c r="J39" s="2"/>
      <c r="K39" s="2"/>
      <c r="L39" s="2"/>
      <c r="M39" s="2"/>
      <c r="N39" s="2"/>
      <c r="O39" s="2"/>
      <c r="P39" s="2"/>
      <c r="Q39" s="97"/>
      <c r="S39" s="53" t="s">
        <v>43</v>
      </c>
      <c r="T39" s="55">
        <f>V38+V39</f>
        <v>26222.934527424492</v>
      </c>
      <c r="U39" s="53" t="s">
        <v>44</v>
      </c>
      <c r="V39" s="55">
        <f>SUM(E28:E45)</f>
        <v>17545.645760104857</v>
      </c>
      <c r="W39" s="53"/>
    </row>
    <row r="40" spans="1:507" x14ac:dyDescent="0.25">
      <c r="A40" s="3">
        <v>13</v>
      </c>
      <c r="B40" s="17" t="s">
        <v>31</v>
      </c>
      <c r="C40" s="47">
        <v>0</v>
      </c>
      <c r="D40" s="49">
        <v>410</v>
      </c>
      <c r="E40" s="18">
        <f>272106/665</f>
        <v>409.18195488721807</v>
      </c>
      <c r="F40" s="8">
        <f t="shared" ref="F40" si="4">D40-E40</f>
        <v>0.81804511278193104</v>
      </c>
      <c r="G40" s="5"/>
      <c r="H40" s="78"/>
      <c r="I40" s="19"/>
      <c r="J40" s="5"/>
      <c r="K40" s="5"/>
      <c r="L40" s="5"/>
      <c r="M40" s="5"/>
      <c r="N40" s="5"/>
      <c r="O40" s="5"/>
      <c r="P40" s="5"/>
      <c r="Q40" s="98"/>
      <c r="S40" s="54" t="s">
        <v>59</v>
      </c>
      <c r="T40" s="55"/>
      <c r="U40" s="53"/>
      <c r="V40" s="53"/>
      <c r="W40" s="53"/>
    </row>
    <row r="41" spans="1:507" ht="31.5" x14ac:dyDescent="0.25">
      <c r="A41" s="3">
        <v>14</v>
      </c>
      <c r="B41" s="63" t="s">
        <v>37</v>
      </c>
      <c r="C41" s="47">
        <v>0</v>
      </c>
      <c r="D41" s="49">
        <v>1260</v>
      </c>
      <c r="E41" s="2"/>
      <c r="F41" s="2"/>
      <c r="G41" s="2"/>
      <c r="H41" s="2"/>
      <c r="I41" s="2"/>
      <c r="J41" s="2"/>
      <c r="K41" s="51">
        <f>ROUND(487908/572,3)</f>
        <v>852.98599999999999</v>
      </c>
      <c r="L41" s="18">
        <f>D41-K41</f>
        <v>407.01400000000001</v>
      </c>
      <c r="M41" s="56"/>
      <c r="N41" s="56"/>
      <c r="O41" s="56"/>
      <c r="P41" s="56"/>
      <c r="Q41" s="57" t="s">
        <v>40</v>
      </c>
      <c r="S41" s="53"/>
      <c r="T41" s="53"/>
      <c r="U41" s="53"/>
      <c r="V41" s="53"/>
      <c r="W41" s="53"/>
    </row>
    <row r="42" spans="1:507" ht="25.5" x14ac:dyDescent="0.25">
      <c r="A42" s="3">
        <v>15</v>
      </c>
      <c r="B42" s="45" t="s">
        <v>34</v>
      </c>
      <c r="C42" s="14">
        <v>640</v>
      </c>
      <c r="D42" s="14">
        <v>578.91999999999996</v>
      </c>
      <c r="E42" s="18"/>
      <c r="F42" s="8"/>
      <c r="G42" s="5"/>
      <c r="H42" s="2"/>
      <c r="I42" s="19"/>
      <c r="J42" s="5"/>
      <c r="K42" s="49">
        <f>ROUND(220339/571,3)</f>
        <v>385.88299999999998</v>
      </c>
      <c r="L42" s="18">
        <f>D42-K42</f>
        <v>193.03699999999998</v>
      </c>
      <c r="M42" s="5"/>
      <c r="N42" s="5"/>
      <c r="O42" s="5"/>
      <c r="P42" s="5"/>
      <c r="Q42" s="57" t="s">
        <v>39</v>
      </c>
      <c r="S42" s="53"/>
      <c r="T42" s="53"/>
      <c r="U42" s="53"/>
      <c r="V42" s="53"/>
      <c r="W42" s="53"/>
    </row>
    <row r="43" spans="1:507" ht="25.5" x14ac:dyDescent="0.25">
      <c r="A43" s="3">
        <v>16</v>
      </c>
      <c r="B43" s="46" t="s">
        <v>38</v>
      </c>
      <c r="C43" s="37">
        <v>180</v>
      </c>
      <c r="D43" s="36">
        <v>220.1</v>
      </c>
      <c r="E43" s="25"/>
      <c r="F43" s="25"/>
      <c r="G43" s="25"/>
      <c r="H43" s="25"/>
      <c r="I43" s="25"/>
      <c r="J43" s="5"/>
      <c r="K43" s="49">
        <f>ROUND(54880/572,3)</f>
        <v>95.944000000000003</v>
      </c>
      <c r="L43" s="18">
        <f t="shared" ref="L43:L45" si="5">D43-K43</f>
        <v>124.15599999999999</v>
      </c>
      <c r="M43" s="5"/>
      <c r="N43" s="5"/>
      <c r="O43" s="5"/>
      <c r="P43" s="5"/>
      <c r="Q43" s="57" t="s">
        <v>39</v>
      </c>
      <c r="S43" s="53"/>
      <c r="T43" s="53"/>
      <c r="U43" s="53" t="s">
        <v>46</v>
      </c>
      <c r="V43" s="75">
        <f>SUM(K41:K45)</f>
        <v>1506.7609999999997</v>
      </c>
      <c r="W43" s="53"/>
    </row>
    <row r="44" spans="1:507" ht="25.5" x14ac:dyDescent="0.25">
      <c r="A44" s="3">
        <v>17</v>
      </c>
      <c r="B44" s="46" t="s">
        <v>35</v>
      </c>
      <c r="C44" s="37">
        <v>1260</v>
      </c>
      <c r="D44" s="36">
        <v>411</v>
      </c>
      <c r="E44" s="9"/>
      <c r="F44" s="9"/>
      <c r="G44" s="9"/>
      <c r="H44" s="9"/>
      <c r="I44" s="9"/>
      <c r="J44" s="9"/>
      <c r="K44" s="47">
        <f>ROUND((7365+68889)/573,3)</f>
        <v>133.07900000000001</v>
      </c>
      <c r="L44" s="18">
        <f t="shared" si="5"/>
        <v>277.92099999999999</v>
      </c>
      <c r="M44" s="9"/>
      <c r="N44" s="9"/>
      <c r="O44" s="9"/>
      <c r="P44" s="9"/>
      <c r="Q44" s="57" t="s">
        <v>39</v>
      </c>
      <c r="R44" s="13"/>
      <c r="S44" s="53" t="s">
        <v>43</v>
      </c>
      <c r="T44" s="75">
        <f>V43</f>
        <v>1506.7609999999997</v>
      </c>
      <c r="U44" s="53"/>
      <c r="V44" s="54"/>
      <c r="W44" s="59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</row>
    <row r="45" spans="1:507" ht="25.5" x14ac:dyDescent="0.25">
      <c r="A45" s="3">
        <v>18</v>
      </c>
      <c r="B45" s="46" t="s">
        <v>36</v>
      </c>
      <c r="C45" s="37">
        <v>800</v>
      </c>
      <c r="D45" s="36">
        <v>196</v>
      </c>
      <c r="E45" s="42"/>
      <c r="F45" s="42"/>
      <c r="G45" s="42"/>
      <c r="H45" s="43"/>
      <c r="I45" s="43"/>
      <c r="J45" s="43"/>
      <c r="K45" s="52">
        <f>ROUND((4525+17623)/569.81,3)</f>
        <v>38.869</v>
      </c>
      <c r="L45" s="18">
        <f t="shared" si="5"/>
        <v>157.131</v>
      </c>
      <c r="M45" s="44"/>
      <c r="N45" s="9"/>
      <c r="O45" s="9"/>
      <c r="P45" s="9"/>
      <c r="Q45" s="57" t="s">
        <v>39</v>
      </c>
      <c r="R45" s="13"/>
      <c r="S45" s="54" t="s">
        <v>45</v>
      </c>
      <c r="T45" s="75">
        <f>1326.761+180</f>
        <v>1506.761</v>
      </c>
      <c r="U45" s="53"/>
      <c r="V45" s="53"/>
      <c r="W45" s="59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</row>
    <row r="46" spans="1:507" s="13" customFormat="1" ht="24.75" customHeight="1" x14ac:dyDescent="0.25">
      <c r="A46" s="21"/>
      <c r="B46" s="12" t="s">
        <v>57</v>
      </c>
      <c r="C46" s="37"/>
      <c r="D46" s="36"/>
      <c r="E46" s="67"/>
      <c r="F46" s="74">
        <f>SUM(F28:F45)</f>
        <v>76381.924239895132</v>
      </c>
      <c r="G46" s="45"/>
      <c r="H46" s="45"/>
      <c r="I46" s="74">
        <f>SUM(I28:I45)</f>
        <v>20588.621232680362</v>
      </c>
      <c r="J46" s="45"/>
      <c r="K46" s="45"/>
      <c r="L46" s="74">
        <f>SUM(L28:L45)</f>
        <v>1159.259</v>
      </c>
      <c r="M46" s="68"/>
      <c r="N46" s="68"/>
      <c r="O46" s="70">
        <f>SUM(O28:O45)</f>
        <v>0</v>
      </c>
      <c r="P46" s="69"/>
      <c r="Q46" s="12"/>
      <c r="R46" s="1"/>
      <c r="S46" s="79" t="s">
        <v>60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</row>
    <row r="47" spans="1:507" s="13" customFormat="1" ht="24.75" customHeight="1" x14ac:dyDescent="0.25">
      <c r="A47" s="21"/>
      <c r="B47" s="81" t="s">
        <v>62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3"/>
      <c r="R47" s="1"/>
      <c r="S47" s="7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</row>
    <row r="48" spans="1:507" s="13" customFormat="1" x14ac:dyDescent="0.25">
      <c r="A48" s="21"/>
      <c r="B48" s="21"/>
      <c r="C48" s="22"/>
      <c r="D48" s="21"/>
      <c r="E48" s="106" t="s">
        <v>18</v>
      </c>
      <c r="F48" s="107"/>
      <c r="G48" s="108"/>
      <c r="H48" s="109" t="s">
        <v>19</v>
      </c>
      <c r="I48" s="110"/>
      <c r="J48" s="111"/>
      <c r="K48" s="112" t="s">
        <v>20</v>
      </c>
      <c r="L48" s="113"/>
      <c r="M48" s="114"/>
      <c r="N48" s="103" t="s">
        <v>21</v>
      </c>
      <c r="O48" s="104"/>
      <c r="P48" s="105"/>
      <c r="Q48" s="8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</row>
    <row r="49" spans="1:507" s="13" customFormat="1" ht="38.25" customHeight="1" x14ac:dyDescent="0.25">
      <c r="A49" s="65" t="s">
        <v>0</v>
      </c>
      <c r="B49" s="16" t="s">
        <v>28</v>
      </c>
      <c r="C49" s="14">
        <v>0</v>
      </c>
      <c r="D49" s="15">
        <v>22923.75</v>
      </c>
      <c r="E49" s="8">
        <f>(2299414)/600</f>
        <v>3832.3566666666666</v>
      </c>
      <c r="F49" s="8">
        <f>D49-E49</f>
        <v>19091.393333333333</v>
      </c>
      <c r="G49" s="7"/>
      <c r="H49" s="77"/>
      <c r="I49" s="7"/>
      <c r="J49" s="7"/>
      <c r="K49" s="7"/>
      <c r="L49" s="7"/>
      <c r="M49" s="7"/>
      <c r="N49" s="7"/>
      <c r="O49" s="7"/>
      <c r="P49" s="7"/>
      <c r="Q49" s="96" t="s">
        <v>32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</row>
    <row r="50" spans="1:507" s="13" customFormat="1" x14ac:dyDescent="0.25">
      <c r="A50" s="65" t="s">
        <v>1</v>
      </c>
      <c r="B50" s="64" t="s">
        <v>23</v>
      </c>
      <c r="C50" s="14">
        <v>0</v>
      </c>
      <c r="D50" s="14">
        <v>21506.91</v>
      </c>
      <c r="E50" s="8"/>
      <c r="F50" s="8"/>
      <c r="G50" s="7"/>
      <c r="H50" s="8">
        <f>2609900/650</f>
        <v>4015.2307692307691</v>
      </c>
      <c r="I50" s="19">
        <f>D50-H50</f>
        <v>17491.67923076923</v>
      </c>
      <c r="J50" s="7"/>
      <c r="K50" s="7"/>
      <c r="L50" s="7"/>
      <c r="M50" s="7"/>
      <c r="N50" s="7"/>
      <c r="O50" s="7"/>
      <c r="P50" s="7"/>
      <c r="Q50" s="9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</row>
    <row r="51" spans="1:507" s="13" customFormat="1" ht="31.5" x14ac:dyDescent="0.25">
      <c r="A51" s="65" t="s">
        <v>2</v>
      </c>
      <c r="B51" s="16" t="s">
        <v>54</v>
      </c>
      <c r="C51" s="14">
        <v>13000</v>
      </c>
      <c r="D51" s="14">
        <v>2100</v>
      </c>
      <c r="E51" s="8">
        <f>(795417+100000)/600</f>
        <v>1492.3616666666667</v>
      </c>
      <c r="F51" s="8">
        <f>D51-E51</f>
        <v>607.63833333333332</v>
      </c>
      <c r="G51" s="7"/>
      <c r="H51" s="7"/>
      <c r="I51" s="19"/>
      <c r="J51" s="7"/>
      <c r="K51" s="7"/>
      <c r="L51" s="7"/>
      <c r="M51" s="7"/>
      <c r="N51" s="7"/>
      <c r="O51" s="7"/>
      <c r="P51" s="7"/>
      <c r="Q51" s="97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</row>
    <row r="52" spans="1:507" s="13" customFormat="1" ht="31.5" x14ac:dyDescent="0.25">
      <c r="A52" s="65" t="s">
        <v>3</v>
      </c>
      <c r="B52" s="64" t="s">
        <v>55</v>
      </c>
      <c r="C52" s="14">
        <v>8000</v>
      </c>
      <c r="D52" s="14">
        <v>2000</v>
      </c>
      <c r="E52" s="8"/>
      <c r="F52" s="8"/>
      <c r="G52" s="7"/>
      <c r="H52" s="8">
        <f>(1277857-100000)/650</f>
        <v>1812.0876923076924</v>
      </c>
      <c r="I52" s="19">
        <f>D52-H52</f>
        <v>187.91230769230765</v>
      </c>
      <c r="J52" s="7"/>
      <c r="K52" s="7"/>
      <c r="L52" s="7"/>
      <c r="M52" s="7"/>
      <c r="N52" s="7"/>
      <c r="O52" s="7"/>
      <c r="P52" s="7"/>
      <c r="Q52" s="97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</row>
    <row r="53" spans="1:507" ht="15.75" customHeight="1" x14ac:dyDescent="0.25">
      <c r="A53" s="3" t="s">
        <v>4</v>
      </c>
      <c r="B53" s="16" t="s">
        <v>56</v>
      </c>
      <c r="C53" s="14">
        <v>1120</v>
      </c>
      <c r="D53" s="14">
        <v>250</v>
      </c>
      <c r="E53" s="8">
        <f>106892/600</f>
        <v>178.15333333333334</v>
      </c>
      <c r="F53" s="8">
        <f>D53-E53</f>
        <v>71.846666666666664</v>
      </c>
      <c r="G53" s="7"/>
      <c r="H53" s="7"/>
      <c r="I53" s="19"/>
      <c r="J53" s="7"/>
      <c r="K53" s="7"/>
      <c r="L53" s="7"/>
      <c r="M53" s="7"/>
      <c r="N53" s="7"/>
      <c r="O53" s="7"/>
      <c r="P53" s="7"/>
      <c r="Q53" s="97"/>
    </row>
    <row r="54" spans="1:507" x14ac:dyDescent="0.25">
      <c r="A54" s="3" t="s">
        <v>5</v>
      </c>
      <c r="B54" s="16" t="s">
        <v>29</v>
      </c>
      <c r="C54" s="14">
        <v>0</v>
      </c>
      <c r="D54" s="14">
        <v>1954.32</v>
      </c>
      <c r="E54" s="8">
        <f>(52110+193264)/600</f>
        <v>408.95666666666665</v>
      </c>
      <c r="F54" s="8">
        <f t="shared" ref="F54:F58" si="6">D54-E54</f>
        <v>1545.3633333333332</v>
      </c>
      <c r="G54" s="2"/>
      <c r="H54" s="7"/>
      <c r="I54" s="19"/>
      <c r="J54" s="2"/>
      <c r="K54" s="2"/>
      <c r="L54" s="2"/>
      <c r="M54" s="2"/>
      <c r="N54" s="2"/>
      <c r="O54" s="2"/>
      <c r="P54" s="2"/>
      <c r="Q54" s="97"/>
    </row>
    <row r="55" spans="1:507" x14ac:dyDescent="0.25">
      <c r="A55" s="3" t="s">
        <v>6</v>
      </c>
      <c r="B55" s="16" t="s">
        <v>30</v>
      </c>
      <c r="C55" s="14">
        <v>0</v>
      </c>
      <c r="D55" s="14">
        <v>289.5</v>
      </c>
      <c r="E55" s="8">
        <f>27893/600</f>
        <v>46.488333333333337</v>
      </c>
      <c r="F55" s="8">
        <f t="shared" si="6"/>
        <v>243.01166666666666</v>
      </c>
      <c r="G55" s="7"/>
      <c r="H55" s="7"/>
      <c r="I55" s="19"/>
      <c r="J55" s="7"/>
      <c r="K55" s="7"/>
      <c r="L55" s="7"/>
      <c r="M55" s="7"/>
      <c r="N55" s="7"/>
      <c r="O55" s="7"/>
      <c r="P55" s="7"/>
      <c r="Q55" s="97"/>
    </row>
    <row r="56" spans="1:507" x14ac:dyDescent="0.25">
      <c r="A56" s="3" t="s">
        <v>7</v>
      </c>
      <c r="B56" s="16" t="s">
        <v>22</v>
      </c>
      <c r="C56" s="14">
        <v>32000</v>
      </c>
      <c r="D56" s="14">
        <v>16000</v>
      </c>
      <c r="E56" s="18">
        <f>2246443/610</f>
        <v>3682.6934426229509</v>
      </c>
      <c r="F56" s="8">
        <f t="shared" si="6"/>
        <v>12317.306557377049</v>
      </c>
      <c r="G56" s="7"/>
      <c r="H56" s="2"/>
      <c r="I56" s="19"/>
      <c r="J56" s="7"/>
      <c r="K56" s="7"/>
      <c r="L56" s="7"/>
      <c r="M56" s="7"/>
      <c r="N56" s="7"/>
      <c r="O56" s="7"/>
      <c r="P56" s="7"/>
      <c r="Q56" s="97"/>
    </row>
    <row r="57" spans="1:507" x14ac:dyDescent="0.25">
      <c r="A57" s="3" t="s">
        <v>8</v>
      </c>
      <c r="B57" s="16" t="s">
        <v>24</v>
      </c>
      <c r="C57" s="14">
        <v>80000</v>
      </c>
      <c r="D57" s="14">
        <v>40000</v>
      </c>
      <c r="E57" s="8">
        <f>2779677/610</f>
        <v>4556.8475409836065</v>
      </c>
      <c r="F57" s="8">
        <f t="shared" si="6"/>
        <v>35443.15245901639</v>
      </c>
      <c r="G57" s="2"/>
      <c r="H57" s="7"/>
      <c r="I57" s="19"/>
      <c r="J57" s="2"/>
      <c r="K57" s="2"/>
      <c r="L57" s="2"/>
      <c r="M57" s="2"/>
      <c r="N57" s="2"/>
      <c r="O57" s="2"/>
      <c r="P57" s="2"/>
      <c r="Q57" s="97"/>
    </row>
    <row r="58" spans="1:507" x14ac:dyDescent="0.25">
      <c r="A58" s="3">
        <v>10</v>
      </c>
      <c r="B58" s="16" t="s">
        <v>25</v>
      </c>
      <c r="C58" s="14">
        <v>20000</v>
      </c>
      <c r="D58" s="14">
        <v>10000</v>
      </c>
      <c r="E58" s="8">
        <f>1475635/641</f>
        <v>2302.0826833073324</v>
      </c>
      <c r="F58" s="8">
        <f t="shared" si="6"/>
        <v>7697.9173166926676</v>
      </c>
      <c r="G58" s="2"/>
      <c r="H58" s="7"/>
      <c r="I58" s="19"/>
      <c r="J58" s="2"/>
      <c r="K58" s="2"/>
      <c r="L58" s="2"/>
      <c r="M58" s="2"/>
      <c r="N58" s="2"/>
      <c r="O58" s="2"/>
      <c r="P58" s="2"/>
      <c r="Q58" s="97"/>
    </row>
    <row r="59" spans="1:507" ht="15.75" customHeight="1" x14ac:dyDescent="0.25">
      <c r="A59" s="3">
        <v>11</v>
      </c>
      <c r="B59" s="43" t="s">
        <v>26</v>
      </c>
      <c r="C59" s="14">
        <v>8000</v>
      </c>
      <c r="D59" s="14">
        <v>4000</v>
      </c>
      <c r="E59" s="5"/>
      <c r="F59" s="8"/>
      <c r="G59" s="2"/>
      <c r="H59" s="18">
        <f>896909/650</f>
        <v>1379.86</v>
      </c>
      <c r="I59" s="19">
        <f>D59-H59</f>
        <v>2620.1400000000003</v>
      </c>
      <c r="J59" s="2"/>
      <c r="K59" s="2"/>
      <c r="L59" s="2"/>
      <c r="M59" s="2"/>
      <c r="N59" s="2"/>
      <c r="O59" s="2"/>
      <c r="P59" s="2"/>
      <c r="Q59" s="97"/>
      <c r="S59" s="53" t="s">
        <v>63</v>
      </c>
      <c r="T59" s="53"/>
      <c r="U59" s="53" t="s">
        <v>42</v>
      </c>
      <c r="V59" s="55">
        <f>SUM(H49:H61)</f>
        <v>7727.6615384615379</v>
      </c>
    </row>
    <row r="60" spans="1:507" x14ac:dyDescent="0.25">
      <c r="A60" s="3">
        <v>12</v>
      </c>
      <c r="B60" s="43" t="s">
        <v>27</v>
      </c>
      <c r="C60" s="47">
        <v>0</v>
      </c>
      <c r="D60" s="49">
        <v>1759</v>
      </c>
      <c r="E60" s="5"/>
      <c r="F60" s="8"/>
      <c r="G60" s="2"/>
      <c r="H60" s="18">
        <f>338314/650</f>
        <v>520.48307692307696</v>
      </c>
      <c r="I60" s="19">
        <f>D60-H60</f>
        <v>1238.5169230769229</v>
      </c>
      <c r="J60" s="2"/>
      <c r="K60" s="2"/>
      <c r="L60" s="2"/>
      <c r="M60" s="2"/>
      <c r="N60" s="2"/>
      <c r="O60" s="2"/>
      <c r="P60" s="2"/>
      <c r="Q60" s="97"/>
      <c r="S60" s="53" t="s">
        <v>43</v>
      </c>
      <c r="T60" s="55">
        <f>V59+V60</f>
        <v>24630.947747584789</v>
      </c>
      <c r="U60" s="53" t="s">
        <v>44</v>
      </c>
      <c r="V60" s="55">
        <f>SUM(E49:E61)</f>
        <v>16903.286209123249</v>
      </c>
    </row>
    <row r="61" spans="1:507" x14ac:dyDescent="0.25">
      <c r="A61" s="3">
        <v>13</v>
      </c>
      <c r="B61" s="17" t="s">
        <v>31</v>
      </c>
      <c r="C61" s="47">
        <v>0</v>
      </c>
      <c r="D61" s="49">
        <v>410</v>
      </c>
      <c r="E61" s="18">
        <f>278712/691</f>
        <v>403.34587554269177</v>
      </c>
      <c r="F61" s="8">
        <f t="shared" ref="F61" si="7">D61-E61</f>
        <v>6.6541244573082281</v>
      </c>
      <c r="G61" s="5"/>
      <c r="H61" s="78"/>
      <c r="I61" s="19"/>
      <c r="J61" s="5"/>
      <c r="K61" s="5"/>
      <c r="L61" s="5"/>
      <c r="M61" s="5"/>
      <c r="N61" s="5"/>
      <c r="O61" s="5"/>
      <c r="P61" s="5"/>
      <c r="Q61" s="98"/>
      <c r="S61" s="54" t="s">
        <v>45</v>
      </c>
      <c r="T61" s="55">
        <v>24633</v>
      </c>
      <c r="U61" s="53"/>
      <c r="V61" s="53"/>
    </row>
    <row r="62" spans="1:507" ht="31.5" x14ac:dyDescent="0.25">
      <c r="A62" s="3">
        <v>14</v>
      </c>
      <c r="B62" s="63" t="s">
        <v>37</v>
      </c>
      <c r="C62" s="47">
        <v>0</v>
      </c>
      <c r="D62" s="49">
        <v>1260</v>
      </c>
      <c r="E62" s="2"/>
      <c r="F62" s="2"/>
      <c r="G62" s="2"/>
      <c r="H62" s="2"/>
      <c r="I62" s="2"/>
      <c r="J62" s="2"/>
      <c r="K62" s="51">
        <f>ROUND(557136/594,3)</f>
        <v>937.93899999999996</v>
      </c>
      <c r="L62" s="18">
        <f>D62-K62</f>
        <v>322.06100000000004</v>
      </c>
      <c r="M62" s="56"/>
      <c r="N62" s="56"/>
      <c r="O62" s="56"/>
      <c r="P62" s="56"/>
      <c r="Q62" s="57" t="s">
        <v>40</v>
      </c>
      <c r="S62" s="53"/>
      <c r="T62" s="53"/>
      <c r="U62" s="53"/>
      <c r="V62" s="53"/>
    </row>
    <row r="63" spans="1:507" ht="25.5" x14ac:dyDescent="0.25">
      <c r="A63" s="3">
        <v>15</v>
      </c>
      <c r="B63" s="45" t="s">
        <v>34</v>
      </c>
      <c r="C63" s="14">
        <v>640</v>
      </c>
      <c r="D63" s="14">
        <v>578.91999999999996</v>
      </c>
      <c r="E63" s="18"/>
      <c r="F63" s="8"/>
      <c r="G63" s="5"/>
      <c r="H63" s="2"/>
      <c r="I63" s="19"/>
      <c r="J63" s="5"/>
      <c r="K63" s="49">
        <f>ROUND((112560+35976+7220)/600,3)</f>
        <v>259.59300000000002</v>
      </c>
      <c r="L63" s="18">
        <f>D63-K63</f>
        <v>319.32699999999994</v>
      </c>
      <c r="M63" s="5"/>
      <c r="N63" s="5"/>
      <c r="O63" s="5"/>
      <c r="P63" s="5"/>
      <c r="Q63" s="57" t="s">
        <v>39</v>
      </c>
      <c r="S63" s="53"/>
      <c r="T63" s="53"/>
      <c r="U63" s="53"/>
      <c r="V63" s="53"/>
    </row>
    <row r="64" spans="1:507" ht="25.5" x14ac:dyDescent="0.25">
      <c r="A64" s="3">
        <v>16</v>
      </c>
      <c r="B64" s="46" t="s">
        <v>38</v>
      </c>
      <c r="C64" s="37">
        <v>180</v>
      </c>
      <c r="D64" s="36">
        <v>220.1</v>
      </c>
      <c r="E64" s="25"/>
      <c r="F64" s="25"/>
      <c r="G64" s="25"/>
      <c r="H64" s="25"/>
      <c r="I64" s="25"/>
      <c r="J64" s="5"/>
      <c r="K64" s="49">
        <f>ROUND(48613/600,3)</f>
        <v>81.022000000000006</v>
      </c>
      <c r="L64" s="18">
        <f t="shared" ref="L64:L66" si="8">D64-K64</f>
        <v>139.07799999999997</v>
      </c>
      <c r="M64" s="5"/>
      <c r="N64" s="5"/>
      <c r="O64" s="5"/>
      <c r="P64" s="5"/>
      <c r="Q64" s="57" t="s">
        <v>39</v>
      </c>
      <c r="S64" s="53" t="s">
        <v>64</v>
      </c>
      <c r="T64" s="53"/>
      <c r="U64" s="53" t="s">
        <v>46</v>
      </c>
      <c r="V64" s="75">
        <f>SUM(K62:K66)</f>
        <v>1413.4929999999999</v>
      </c>
    </row>
    <row r="65" spans="1:22" ht="25.5" x14ac:dyDescent="0.25">
      <c r="A65" s="3">
        <v>17</v>
      </c>
      <c r="B65" s="46" t="s">
        <v>35</v>
      </c>
      <c r="C65" s="37">
        <v>1260</v>
      </c>
      <c r="D65" s="36">
        <v>411</v>
      </c>
      <c r="E65" s="9"/>
      <c r="F65" s="9"/>
      <c r="G65" s="9"/>
      <c r="H65" s="9"/>
      <c r="I65" s="9"/>
      <c r="J65" s="9"/>
      <c r="K65" s="47">
        <f>ROUND((6360+55820)/600,3)</f>
        <v>103.633</v>
      </c>
      <c r="L65" s="18">
        <f t="shared" si="8"/>
        <v>307.36700000000002</v>
      </c>
      <c r="M65" s="9"/>
      <c r="N65" s="9"/>
      <c r="O65" s="9"/>
      <c r="P65" s="9"/>
      <c r="Q65" s="57" t="s">
        <v>39</v>
      </c>
      <c r="S65" s="53" t="s">
        <v>43</v>
      </c>
      <c r="T65" s="75">
        <f>V64</f>
        <v>1413.4929999999999</v>
      </c>
      <c r="U65" s="53"/>
      <c r="V65" s="54"/>
    </row>
    <row r="66" spans="1:22" ht="25.5" x14ac:dyDescent="0.25">
      <c r="A66" s="3">
        <v>18</v>
      </c>
      <c r="B66" s="46" t="s">
        <v>36</v>
      </c>
      <c r="C66" s="37">
        <v>800</v>
      </c>
      <c r="D66" s="36">
        <v>196</v>
      </c>
      <c r="E66" s="42"/>
      <c r="F66" s="42"/>
      <c r="G66" s="42"/>
      <c r="H66" s="43"/>
      <c r="I66" s="43"/>
      <c r="J66" s="43"/>
      <c r="K66" s="52">
        <f>ROUND((3918+14834)/599,3)</f>
        <v>31.306000000000001</v>
      </c>
      <c r="L66" s="18">
        <f t="shared" si="8"/>
        <v>164.69399999999999</v>
      </c>
      <c r="M66" s="44"/>
      <c r="N66" s="9"/>
      <c r="O66" s="9"/>
      <c r="P66" s="9"/>
      <c r="Q66" s="57" t="s">
        <v>39</v>
      </c>
      <c r="S66" s="54" t="s">
        <v>45</v>
      </c>
      <c r="T66" s="75">
        <v>1229.4670000000001</v>
      </c>
      <c r="U66" s="53"/>
      <c r="V66" s="53"/>
    </row>
    <row r="67" spans="1:22" ht="31.5" x14ac:dyDescent="0.25">
      <c r="A67" s="3"/>
      <c r="B67" s="12" t="s">
        <v>57</v>
      </c>
      <c r="C67" s="2"/>
      <c r="D67" s="2"/>
      <c r="E67" s="67"/>
      <c r="F67" s="25">
        <f>SUM(F49:F66)</f>
        <v>77024.28379087674</v>
      </c>
      <c r="G67" s="5"/>
      <c r="H67" s="45"/>
      <c r="I67" s="25">
        <f>SUM(I49:I66)</f>
        <v>21538.24846153846</v>
      </c>
      <c r="J67" s="5"/>
      <c r="K67" s="5"/>
      <c r="L67" s="25">
        <f>SUM(L49:L66)</f>
        <v>1252.5269999999998</v>
      </c>
      <c r="M67" s="5"/>
      <c r="N67" s="5"/>
      <c r="O67" s="25">
        <f>SUM(O49:O66)</f>
        <v>0</v>
      </c>
      <c r="P67" s="5"/>
      <c r="Q67" s="60"/>
      <c r="S67" s="79" t="s">
        <v>61</v>
      </c>
      <c r="T67" s="76">
        <v>184</v>
      </c>
    </row>
    <row r="68" spans="1:22" x14ac:dyDescent="0.25">
      <c r="A68" s="3"/>
      <c r="B68" s="4"/>
      <c r="C68" s="30"/>
      <c r="D68" s="30"/>
      <c r="E68" s="28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"/>
      <c r="T68" s="75">
        <f>T66+T67</f>
        <v>1413.4670000000001</v>
      </c>
    </row>
    <row r="69" spans="1:22" x14ac:dyDescent="0.25">
      <c r="B69" s="21"/>
      <c r="C69" s="22"/>
      <c r="D69" s="21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1:22" x14ac:dyDescent="0.25">
      <c r="C70" s="22"/>
      <c r="D70" s="21"/>
      <c r="H70" s="24"/>
      <c r="I70" s="24"/>
    </row>
    <row r="71" spans="1:22" x14ac:dyDescent="0.25">
      <c r="H71" s="27"/>
      <c r="I71" s="27"/>
    </row>
    <row r="72" spans="1:22" x14ac:dyDescent="0.25">
      <c r="H72" s="20"/>
    </row>
  </sheetData>
  <mergeCells count="22">
    <mergeCell ref="Q7:Q19"/>
    <mergeCell ref="Q28:Q40"/>
    <mergeCell ref="E69:P69"/>
    <mergeCell ref="A1:Q1"/>
    <mergeCell ref="A2:Q2"/>
    <mergeCell ref="A5:D6"/>
    <mergeCell ref="E5:P5"/>
    <mergeCell ref="E6:G6"/>
    <mergeCell ref="H6:J6"/>
    <mergeCell ref="K6:M6"/>
    <mergeCell ref="N6:P6"/>
    <mergeCell ref="E48:G48"/>
    <mergeCell ref="H48:J48"/>
    <mergeCell ref="K48:M48"/>
    <mergeCell ref="Q49:Q61"/>
    <mergeCell ref="N48:P48"/>
    <mergeCell ref="B47:Q47"/>
    <mergeCell ref="E26:P26"/>
    <mergeCell ref="E27:G27"/>
    <mergeCell ref="H27:J27"/>
    <mergeCell ref="K27:M27"/>
    <mergeCell ref="N27:P27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2018г.1 кв.</vt:lpstr>
      <vt:lpstr>'2018г.1 кв.'!Область_печати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2017-09-18T08:59:26Z</cp:lastPrinted>
  <dcterms:created xsi:type="dcterms:W3CDTF">2016-02-25T15:45:55Z</dcterms:created>
  <dcterms:modified xsi:type="dcterms:W3CDTF">2018-04-18T08:00:43Z</dcterms:modified>
</cp:coreProperties>
</file>